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reetownlicenses-my.sharepoint.com/personal/kfales_freetownlicenses_onmicrosoft_com/Documents/FY2020/FY20 END OF YEAR/"/>
    </mc:Choice>
  </mc:AlternateContent>
  <xr:revisionPtr revIDLastSave="1420" documentId="8_{31C68C9C-E22F-4EC6-A0E4-19DACA854637}" xr6:coauthVersionLast="46" xr6:coauthVersionMax="46" xr10:uidLastSave="{9665E092-B5BB-4972-96A6-193886CD3870}"/>
  <bookViews>
    <workbookView xWindow="-120" yWindow="-120" windowWidth="29040" windowHeight="15840" tabRatio="720" xr2:uid="{00000000-000D-0000-FFFF-FFFF00000000}"/>
  </bookViews>
  <sheets>
    <sheet name="COVER PAGE" sheetId="10" r:id="rId1"/>
    <sheet name="COMBINED BALANCE SHEET " sheetId="64" r:id="rId2"/>
    <sheet name="BAL SHEET SPEC REV" sheetId="79" r:id="rId3"/>
    <sheet name="BAL SHEET CAP PROJ" sheetId="82" r:id="rId4"/>
    <sheet name="BAL SHEET TRUST AGENCY" sheetId="80" r:id="rId5"/>
    <sheet name="COMBINED REV EXP SHEET" sheetId="81" r:id="rId6"/>
    <sheet name="BUDGET REVENUES" sheetId="5" r:id="rId7"/>
    <sheet name="CY APPROP." sheetId="70" r:id="rId8"/>
    <sheet name="BUDGET EXPEND" sheetId="74" r:id="rId9"/>
    <sheet name="FUND BALANCE" sheetId="3" r:id="rId10"/>
    <sheet name="FED GRANTS-FUND BAL " sheetId="60" r:id="rId11"/>
    <sheet name="STATE GRANTS-FUND BAL  " sheetId="72" r:id="rId12"/>
    <sheet name="RRAP-FUND BAL" sheetId="44" r:id="rId13"/>
    <sheet name="REVOLVING-FUND BAL" sheetId="45" r:id="rId14"/>
    <sheet name="OTHER SPECIAL-FUND BAL" sheetId="46" r:id="rId15"/>
    <sheet name="CAPITAL-FUND BAL" sheetId="61" r:id="rId16"/>
    <sheet name="WATER-SEWER BUDGET" sheetId="78" r:id="rId17"/>
    <sheet name="TRUST-FUND BAL " sheetId="66" r:id="rId18"/>
    <sheet name="AGENCY-LIABILITIES" sheetId="48" r:id="rId19"/>
    <sheet name="INDEBTEDNESS" sheetId="63" r:id="rId20"/>
  </sheets>
  <definedNames>
    <definedName name="BALSHT15" localSheetId="3">#REF!</definedName>
    <definedName name="BALSHT15">#REF!</definedName>
    <definedName name="cbssr" localSheetId="3">#REF!</definedName>
    <definedName name="cbssr" localSheetId="4">#REF!</definedName>
    <definedName name="cbssr" localSheetId="5">#REF!</definedName>
    <definedName name="cbssr">#REF!</definedName>
    <definedName name="cbstrst" localSheetId="3">#REF!</definedName>
    <definedName name="cbstrst" localSheetId="5">#REF!</definedName>
    <definedName name="cbstrst">#REF!</definedName>
    <definedName name="_xlnm.Print_Area" localSheetId="18">'AGENCY-LIABILITIES'!$A$1:$J$83</definedName>
    <definedName name="_xlnm.Print_Area" localSheetId="3">'BAL SHEET CAP PROJ'!$A$1:$M$68</definedName>
    <definedName name="_xlnm.Print_Area" localSheetId="2">'BAL SHEET SPEC REV'!$A$1:$N$68</definedName>
    <definedName name="_xlnm.Print_Area" localSheetId="4">'BAL SHEET TRUST AGENCY'!$A$1:$L$69</definedName>
    <definedName name="_xlnm.Print_Area" localSheetId="8">'BUDGET EXPEND'!$A$1:$G$69</definedName>
    <definedName name="_xlnm.Print_Area" localSheetId="6">'BUDGET REVENUES'!$A$1:$G$67</definedName>
    <definedName name="_xlnm.Print_Area" localSheetId="15">'CAPITAL-FUND BAL'!$A$1:$J$17</definedName>
    <definedName name="_xlnm.Print_Area" localSheetId="1">'COMBINED BALANCE SHEET '!$A$1:$T$71</definedName>
    <definedName name="_xlnm.Print_Area" localSheetId="5">'COMBINED REV EXP SHEET'!$A$1:$V$60</definedName>
    <definedName name="_xlnm.Print_Area" localSheetId="0">'COVER PAGE'!$A$1:$D$57</definedName>
    <definedName name="_xlnm.Print_Area" localSheetId="7">'CY APPROP.'!$A$1:$M$141</definedName>
    <definedName name="_xlnm.Print_Area" localSheetId="10">'FED GRANTS-FUND BAL '!$A$1:$J$38</definedName>
    <definedName name="_xlnm.Print_Area" localSheetId="9">'FUND BALANCE'!$A$1:$E$58</definedName>
    <definedName name="_xlnm.Print_Area" localSheetId="19">INDEBTEDNESS!$A$1:$H$44</definedName>
    <definedName name="_xlnm.Print_Area" localSheetId="14">'OTHER SPECIAL-FUND BAL'!$A$1:$J$36</definedName>
    <definedName name="_xlnm.Print_Area" localSheetId="13">'REVOLVING-FUND BAL'!$A$1:$J$34</definedName>
    <definedName name="_xlnm.Print_Area" localSheetId="12">'RRAP-FUND BAL'!$A$1:$J$26</definedName>
    <definedName name="_xlnm.Print_Area" localSheetId="11">'STATE GRANTS-FUND BAL  '!$A$1:$J$66</definedName>
    <definedName name="_xlnm.Print_Area" localSheetId="17">'TRUST-FUND BAL '!$A$1:$J$116</definedName>
    <definedName name="_xlnm.Print_Area" localSheetId="16">'WATER-SEWER BUDGET'!$A$1:$F$66</definedName>
    <definedName name="_xlnm.Print_Area">#REF!</definedName>
    <definedName name="PRINT_AREA_MI" localSheetId="3">#REF!</definedName>
    <definedName name="PRINT_AREA_MI" localSheetId="2">#REF!</definedName>
    <definedName name="PRINT_AREA_MI" localSheetId="4">#REF!</definedName>
    <definedName name="PRINT_AREA_MI" localSheetId="5">#REF!</definedName>
    <definedName name="PRINT_AREA_MI">#REF!</definedName>
    <definedName name="_xlnm.Print_Titles" localSheetId="3">'BAL SHEET CAP PROJ'!$A:$A</definedName>
    <definedName name="_xlnm.Print_Titles" localSheetId="2">'BAL SHEET SPEC REV'!$A:$A</definedName>
    <definedName name="_xlnm.Print_Titles" localSheetId="4">'BAL SHEET TRUST AGENCY'!$A:$A</definedName>
    <definedName name="_xlnm.Print_Titles" localSheetId="1">'COMBINED BALANCE SHEET '!$A:$A</definedName>
    <definedName name="_xlnm.Print_Titles" localSheetId="5">'COMBINED REV EXP SHEET'!$A:$A</definedName>
    <definedName name="_xlnm.Print_Titles" localSheetId="7">'CY APPROP.'!$1:$7</definedName>
    <definedName name="revexp" localSheetId="3">#REF!</definedName>
    <definedName name="revex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9" i="64" l="1"/>
  <c r="D39" i="64"/>
  <c r="D16" i="72"/>
  <c r="D36" i="48" l="1"/>
  <c r="B68" i="64"/>
  <c r="B50" i="64"/>
  <c r="T51" i="64"/>
  <c r="B8" i="64"/>
  <c r="T27" i="81"/>
  <c r="R30" i="81"/>
  <c r="P30" i="81"/>
  <c r="N30" i="81"/>
  <c r="C28" i="3"/>
  <c r="B38" i="81" l="1"/>
  <c r="B36" i="81"/>
  <c r="B37" i="81"/>
  <c r="B35" i="81"/>
  <c r="T9" i="81"/>
  <c r="R18" i="81"/>
  <c r="R9" i="81"/>
  <c r="P9" i="81"/>
  <c r="L9" i="81"/>
  <c r="J9" i="81"/>
  <c r="E64" i="74"/>
  <c r="F13" i="74"/>
  <c r="E13" i="74"/>
  <c r="G11" i="74"/>
  <c r="M89" i="70"/>
  <c r="E66" i="70"/>
  <c r="E22" i="70"/>
  <c r="E39" i="70"/>
  <c r="E11" i="70"/>
  <c r="E37" i="70"/>
  <c r="K105" i="70"/>
  <c r="K103" i="70"/>
  <c r="K14" i="70"/>
  <c r="K66" i="70"/>
  <c r="K26" i="70"/>
  <c r="K37" i="70"/>
  <c r="J63" i="70"/>
  <c r="J13" i="70"/>
  <c r="K59" i="70"/>
  <c r="K11" i="70"/>
  <c r="K64" i="70"/>
  <c r="J23" i="70"/>
  <c r="J59" i="70"/>
  <c r="G37" i="70"/>
  <c r="M29" i="70"/>
  <c r="D66" i="70"/>
  <c r="D17" i="70"/>
  <c r="F35" i="5"/>
  <c r="F24" i="5"/>
  <c r="F21" i="5"/>
  <c r="E11" i="5"/>
  <c r="C36" i="3"/>
  <c r="H48" i="80" l="1"/>
  <c r="F49" i="64" l="1"/>
  <c r="F53" i="64"/>
  <c r="F40" i="64"/>
  <c r="B64" i="79" l="1"/>
  <c r="B32" i="79"/>
  <c r="J17" i="60"/>
  <c r="J16" i="60"/>
  <c r="J15" i="60"/>
  <c r="J13" i="60"/>
  <c r="D64" i="79" l="1"/>
  <c r="D33" i="79"/>
  <c r="J58" i="72"/>
  <c r="I60" i="72"/>
  <c r="H60" i="72"/>
  <c r="G60" i="72"/>
  <c r="F60" i="72"/>
  <c r="E60" i="72"/>
  <c r="D60" i="72"/>
  <c r="C60" i="72"/>
  <c r="J42" i="72"/>
  <c r="J41" i="72"/>
  <c r="I44" i="72"/>
  <c r="H44" i="72"/>
  <c r="G44" i="72"/>
  <c r="F44" i="72"/>
  <c r="E44" i="72"/>
  <c r="D44" i="72"/>
  <c r="C44" i="72"/>
  <c r="J20" i="72"/>
  <c r="J23" i="72"/>
  <c r="F64" i="79" l="1"/>
  <c r="D10" i="44"/>
  <c r="H64" i="79"/>
  <c r="D9" i="45"/>
  <c r="E16" i="45"/>
  <c r="E20" i="45"/>
  <c r="E31" i="45"/>
  <c r="D16" i="45"/>
  <c r="D30" i="45"/>
  <c r="D31" i="45"/>
  <c r="J64" i="79"/>
  <c r="L64" i="79"/>
  <c r="E24" i="46"/>
  <c r="E18" i="46"/>
  <c r="E17" i="46"/>
  <c r="J13" i="46"/>
  <c r="B65" i="82"/>
  <c r="F65" i="82" l="1"/>
  <c r="L60" i="64"/>
  <c r="L50" i="64"/>
  <c r="L32" i="64"/>
  <c r="L8" i="64"/>
  <c r="L22" i="64"/>
  <c r="L21" i="64"/>
  <c r="L20" i="64"/>
  <c r="J47" i="80"/>
  <c r="H49" i="80"/>
  <c r="F66" i="80"/>
  <c r="D66" i="80"/>
  <c r="B65" i="80"/>
  <c r="T10" i="64"/>
  <c r="E105" i="66"/>
  <c r="D105" i="66"/>
  <c r="D101" i="66"/>
  <c r="D100" i="66"/>
  <c r="D56" i="66"/>
  <c r="C39" i="66"/>
  <c r="C86" i="66"/>
  <c r="C83" i="48" l="1"/>
  <c r="C80" i="48"/>
  <c r="C77" i="48"/>
  <c r="C52" i="48"/>
  <c r="C54" i="3" l="1"/>
  <c r="B61" i="78" l="1"/>
  <c r="B52" i="78"/>
  <c r="B51" i="78"/>
  <c r="E45" i="78"/>
  <c r="D45" i="78"/>
  <c r="C45" i="78"/>
  <c r="D32" i="78"/>
  <c r="E30" i="78" l="1"/>
  <c r="C32" i="78"/>
  <c r="C33" i="78" s="1"/>
  <c r="E44" i="78"/>
  <c r="D27" i="78"/>
  <c r="H37" i="70" l="1"/>
  <c r="M134" i="70"/>
  <c r="G37" i="74"/>
  <c r="E26" i="78" l="1"/>
  <c r="J10" i="60" l="1"/>
  <c r="C55" i="72"/>
  <c r="C48" i="72"/>
  <c r="C26" i="72"/>
  <c r="C13" i="72"/>
  <c r="J17" i="44" l="1"/>
  <c r="J19" i="44"/>
  <c r="J11" i="45"/>
  <c r="J10" i="45"/>
  <c r="J20" i="45"/>
  <c r="J21" i="45"/>
  <c r="J22" i="45"/>
  <c r="F66" i="82" l="1"/>
  <c r="F52" i="82"/>
  <c r="F68" i="82" s="1"/>
  <c r="F40" i="82"/>
  <c r="L9" i="80"/>
  <c r="J13" i="61" l="1"/>
  <c r="H106" i="66"/>
  <c r="V19" i="81" l="1"/>
  <c r="G52" i="74"/>
  <c r="G40" i="74"/>
  <c r="T59" i="64" l="1"/>
  <c r="H65" i="82" l="1"/>
  <c r="J18" i="72"/>
  <c r="J11" i="72"/>
  <c r="J10" i="72"/>
  <c r="J19" i="72"/>
  <c r="J9" i="44" l="1"/>
  <c r="C32" i="45"/>
  <c r="C23" i="45"/>
  <c r="C17" i="45"/>
  <c r="C13" i="45"/>
  <c r="J29" i="45"/>
  <c r="J18" i="46"/>
  <c r="C34" i="45" l="1"/>
  <c r="E37" i="78"/>
  <c r="E13" i="78"/>
  <c r="H33" i="63" l="1"/>
  <c r="F33" i="63"/>
  <c r="D33" i="63"/>
  <c r="E33" i="63"/>
  <c r="V45" i="81" l="1"/>
  <c r="G31" i="63" l="1"/>
  <c r="G63" i="74" l="1"/>
  <c r="G34" i="74"/>
  <c r="G30" i="74"/>
  <c r="M65" i="70"/>
  <c r="M130" i="70"/>
  <c r="J17" i="72" l="1"/>
  <c r="J9" i="72"/>
  <c r="J17" i="46" l="1"/>
  <c r="H66" i="82" l="1"/>
  <c r="H52" i="82"/>
  <c r="H40" i="82"/>
  <c r="H68" i="82" l="1"/>
  <c r="T9" i="64"/>
  <c r="F41" i="80" l="1"/>
  <c r="D41" i="80"/>
  <c r="B41" i="80"/>
  <c r="D40" i="82"/>
  <c r="B40" i="82"/>
  <c r="D66" i="82"/>
  <c r="B66" i="82"/>
  <c r="M65" i="82"/>
  <c r="M64" i="82"/>
  <c r="M63" i="82"/>
  <c r="M62" i="82"/>
  <c r="M61" i="82"/>
  <c r="M60" i="82"/>
  <c r="M59" i="82"/>
  <c r="M58" i="82"/>
  <c r="M57" i="82"/>
  <c r="M56" i="82"/>
  <c r="D52" i="82"/>
  <c r="B52" i="82"/>
  <c r="M51" i="82"/>
  <c r="M50" i="82"/>
  <c r="M49" i="82"/>
  <c r="M48" i="82"/>
  <c r="M47" i="82"/>
  <c r="M46" i="82"/>
  <c r="M45" i="82"/>
  <c r="M44" i="82"/>
  <c r="M43" i="82"/>
  <c r="M39" i="82"/>
  <c r="M38" i="82"/>
  <c r="M37" i="82"/>
  <c r="M36" i="82"/>
  <c r="M35" i="82"/>
  <c r="M34" i="82"/>
  <c r="M33" i="82"/>
  <c r="M32" i="82"/>
  <c r="M31" i="82"/>
  <c r="M30" i="82"/>
  <c r="M29" i="82"/>
  <c r="M28" i="82"/>
  <c r="M27" i="82"/>
  <c r="M26" i="82"/>
  <c r="M25" i="82"/>
  <c r="M24" i="82"/>
  <c r="M23" i="82"/>
  <c r="M22" i="82"/>
  <c r="M21" i="82"/>
  <c r="M20" i="82"/>
  <c r="M19" i="82"/>
  <c r="M18" i="82"/>
  <c r="M17" i="82"/>
  <c r="M16" i="82"/>
  <c r="M15" i="82"/>
  <c r="M14" i="82"/>
  <c r="M13" i="82"/>
  <c r="M12" i="82"/>
  <c r="M11" i="82"/>
  <c r="M10" i="82"/>
  <c r="M9" i="82"/>
  <c r="M8" i="82"/>
  <c r="J15" i="61"/>
  <c r="J11" i="61"/>
  <c r="M40" i="82" l="1"/>
  <c r="D68" i="82"/>
  <c r="M66" i="82"/>
  <c r="M52" i="82"/>
  <c r="B68" i="82"/>
  <c r="J12" i="46"/>
  <c r="G21" i="5"/>
  <c r="M68" i="82" l="1"/>
  <c r="J53" i="72"/>
  <c r="H43" i="63"/>
  <c r="H42" i="63"/>
  <c r="H41" i="63"/>
  <c r="G44" i="63"/>
  <c r="F44" i="63"/>
  <c r="D44" i="63"/>
  <c r="J110" i="66"/>
  <c r="I111" i="66"/>
  <c r="H111" i="66"/>
  <c r="H113" i="66" s="1"/>
  <c r="G111" i="66"/>
  <c r="F111" i="66"/>
  <c r="E111" i="66"/>
  <c r="D111" i="66"/>
  <c r="F56" i="74" l="1"/>
  <c r="G55" i="74"/>
  <c r="E56" i="74"/>
  <c r="G27" i="74"/>
  <c r="G20" i="74"/>
  <c r="G17" i="74"/>
  <c r="G14" i="74"/>
  <c r="M60" i="70"/>
  <c r="G136" i="70"/>
  <c r="G126" i="70"/>
  <c r="G121" i="70"/>
  <c r="G116" i="70"/>
  <c r="G111" i="70"/>
  <c r="G107" i="70"/>
  <c r="G97" i="70"/>
  <c r="G91" i="70"/>
  <c r="G83" i="70"/>
  <c r="G74" i="70"/>
  <c r="G67" i="70"/>
  <c r="G56" i="70"/>
  <c r="G49" i="70"/>
  <c r="G34" i="70"/>
  <c r="D136" i="70"/>
  <c r="D126" i="70"/>
  <c r="D121" i="70"/>
  <c r="D116" i="70"/>
  <c r="D111" i="70"/>
  <c r="D107" i="70"/>
  <c r="D97" i="70"/>
  <c r="D91" i="70"/>
  <c r="D83" i="70"/>
  <c r="D74" i="70"/>
  <c r="D67" i="70"/>
  <c r="D56" i="70"/>
  <c r="D49" i="70"/>
  <c r="D34" i="70"/>
  <c r="D139" i="70" l="1"/>
  <c r="G139" i="70"/>
  <c r="J18" i="60"/>
  <c r="E38" i="78" l="1"/>
  <c r="V58" i="81" l="1"/>
  <c r="V56" i="81" l="1"/>
  <c r="V10" i="81" l="1"/>
  <c r="V37" i="81"/>
  <c r="V36" i="81"/>
  <c r="V35" i="81"/>
  <c r="R13" i="81"/>
  <c r="R50" i="81"/>
  <c r="R40" i="81"/>
  <c r="T21" i="81"/>
  <c r="R21" i="81"/>
  <c r="P21" i="81"/>
  <c r="N21" i="81"/>
  <c r="L21" i="81"/>
  <c r="J21" i="81"/>
  <c r="H21" i="81"/>
  <c r="F21" i="81"/>
  <c r="D21" i="81"/>
  <c r="T13" i="81"/>
  <c r="P13" i="81"/>
  <c r="N13" i="81"/>
  <c r="L13" i="81"/>
  <c r="L24" i="81" s="1"/>
  <c r="J13" i="81"/>
  <c r="H13" i="81"/>
  <c r="F13" i="81"/>
  <c r="D13" i="81"/>
  <c r="D24" i="81" s="1"/>
  <c r="V30" i="81"/>
  <c r="V47" i="81"/>
  <c r="V18" i="81"/>
  <c r="V27" i="81"/>
  <c r="V32" i="81"/>
  <c r="T50" i="81"/>
  <c r="P50" i="81"/>
  <c r="N50" i="81"/>
  <c r="L50" i="81"/>
  <c r="J50" i="81"/>
  <c r="H50" i="81"/>
  <c r="F50" i="81"/>
  <c r="D50" i="81"/>
  <c r="B50" i="81"/>
  <c r="V34" i="81"/>
  <c r="B21" i="81"/>
  <c r="B13" i="81"/>
  <c r="V53" i="81"/>
  <c r="V49" i="81"/>
  <c r="V48" i="81"/>
  <c r="V46" i="81"/>
  <c r="V43" i="81"/>
  <c r="P40" i="81"/>
  <c r="N40" i="81"/>
  <c r="L40" i="81"/>
  <c r="H40" i="81"/>
  <c r="D40" i="81"/>
  <c r="V38" i="81"/>
  <c r="V31" i="81"/>
  <c r="V29" i="81"/>
  <c r="V23" i="81"/>
  <c r="V22" i="81"/>
  <c r="V20" i="81"/>
  <c r="V17" i="81"/>
  <c r="V16" i="81"/>
  <c r="V15" i="81"/>
  <c r="V12" i="81"/>
  <c r="V11" i="81"/>
  <c r="V9" i="81"/>
  <c r="H53" i="80"/>
  <c r="J67" i="80"/>
  <c r="H67" i="80"/>
  <c r="F67" i="80"/>
  <c r="L66" i="80"/>
  <c r="D67" i="80"/>
  <c r="B67" i="80"/>
  <c r="L64" i="80"/>
  <c r="L63" i="80"/>
  <c r="L62" i="80"/>
  <c r="L61" i="80"/>
  <c r="L60" i="80"/>
  <c r="L59" i="80"/>
  <c r="L58" i="80"/>
  <c r="L57" i="80"/>
  <c r="J53" i="80"/>
  <c r="J69" i="80" s="1"/>
  <c r="F53" i="80"/>
  <c r="D53" i="80"/>
  <c r="B53" i="80"/>
  <c r="B69" i="80" s="1"/>
  <c r="L52" i="80"/>
  <c r="L51" i="80"/>
  <c r="L50" i="80"/>
  <c r="L49" i="80"/>
  <c r="L48" i="80"/>
  <c r="L47" i="80"/>
  <c r="L46" i="80"/>
  <c r="L45" i="80"/>
  <c r="L44" i="80"/>
  <c r="J41" i="80"/>
  <c r="H41" i="80"/>
  <c r="L40" i="80"/>
  <c r="L39" i="80"/>
  <c r="L38" i="80"/>
  <c r="L37" i="80"/>
  <c r="L36" i="80"/>
  <c r="L35" i="80"/>
  <c r="L33" i="80"/>
  <c r="L32" i="80"/>
  <c r="L31" i="80"/>
  <c r="L30" i="80"/>
  <c r="L29" i="80"/>
  <c r="L28" i="80"/>
  <c r="L27" i="80"/>
  <c r="L26" i="80"/>
  <c r="L25" i="80"/>
  <c r="L24" i="80"/>
  <c r="L23" i="80"/>
  <c r="L22" i="80"/>
  <c r="L21" i="80"/>
  <c r="L20" i="80"/>
  <c r="L19" i="80"/>
  <c r="L18" i="80"/>
  <c r="L17" i="80"/>
  <c r="L16" i="80"/>
  <c r="L15" i="80"/>
  <c r="L14" i="80"/>
  <c r="L13" i="80"/>
  <c r="L12" i="80"/>
  <c r="L11" i="80"/>
  <c r="L10" i="80"/>
  <c r="L8" i="80"/>
  <c r="L66" i="79"/>
  <c r="J66" i="79"/>
  <c r="H66" i="79"/>
  <c r="F66" i="79"/>
  <c r="D66" i="79"/>
  <c r="N65" i="79"/>
  <c r="N64" i="79"/>
  <c r="B66" i="79"/>
  <c r="N62" i="79"/>
  <c r="N61" i="79"/>
  <c r="N60" i="79"/>
  <c r="N59" i="79"/>
  <c r="N58" i="79"/>
  <c r="N56" i="79"/>
  <c r="L52" i="79"/>
  <c r="J52" i="79"/>
  <c r="J68" i="79" s="1"/>
  <c r="H52" i="79"/>
  <c r="D52" i="79"/>
  <c r="N51" i="79"/>
  <c r="N50" i="79"/>
  <c r="B52" i="79"/>
  <c r="N48" i="79"/>
  <c r="N47" i="79"/>
  <c r="N46" i="79"/>
  <c r="N45" i="79"/>
  <c r="N44" i="79"/>
  <c r="N43" i="79"/>
  <c r="L40" i="79"/>
  <c r="J40" i="79"/>
  <c r="H40" i="79"/>
  <c r="F40" i="79"/>
  <c r="N39" i="79"/>
  <c r="D40" i="79"/>
  <c r="N37" i="79"/>
  <c r="N36" i="79"/>
  <c r="N35" i="79"/>
  <c r="N34" i="79"/>
  <c r="N33" i="79"/>
  <c r="N32" i="79"/>
  <c r="N31" i="79"/>
  <c r="N30" i="79"/>
  <c r="N29" i="79"/>
  <c r="N28" i="79"/>
  <c r="N27" i="79"/>
  <c r="N26" i="79"/>
  <c r="N25" i="79"/>
  <c r="N24" i="79"/>
  <c r="N23" i="79"/>
  <c r="N22" i="79"/>
  <c r="N21" i="79"/>
  <c r="N20" i="79"/>
  <c r="N19" i="79"/>
  <c r="N18" i="79"/>
  <c r="N17" i="79"/>
  <c r="N16" i="79"/>
  <c r="N15" i="79"/>
  <c r="N14" i="79"/>
  <c r="N13" i="79"/>
  <c r="N12" i="79"/>
  <c r="N11" i="79"/>
  <c r="N10" i="79"/>
  <c r="N9" i="79"/>
  <c r="B40" i="79"/>
  <c r="L136" i="70"/>
  <c r="K136" i="70"/>
  <c r="J136" i="70"/>
  <c r="I136" i="70"/>
  <c r="H136" i="70"/>
  <c r="F136" i="70"/>
  <c r="E136" i="70"/>
  <c r="L126" i="70"/>
  <c r="K126" i="70"/>
  <c r="J126" i="70"/>
  <c r="I126" i="70"/>
  <c r="H126" i="70"/>
  <c r="F126" i="70"/>
  <c r="E126" i="70"/>
  <c r="L121" i="70"/>
  <c r="K121" i="70"/>
  <c r="J121" i="70"/>
  <c r="I121" i="70"/>
  <c r="H121" i="70"/>
  <c r="F121" i="70"/>
  <c r="E121" i="70"/>
  <c r="L116" i="70"/>
  <c r="K116" i="70"/>
  <c r="J116" i="70"/>
  <c r="I116" i="70"/>
  <c r="H116" i="70"/>
  <c r="F116" i="70"/>
  <c r="E116" i="70"/>
  <c r="L111" i="70"/>
  <c r="K111" i="70"/>
  <c r="J111" i="70"/>
  <c r="I111" i="70"/>
  <c r="H111" i="70"/>
  <c r="F111" i="70"/>
  <c r="E111" i="70"/>
  <c r="L107" i="70"/>
  <c r="K107" i="70"/>
  <c r="J107" i="70"/>
  <c r="I107" i="70"/>
  <c r="H107" i="70"/>
  <c r="F107" i="70"/>
  <c r="E107" i="70"/>
  <c r="L97" i="70"/>
  <c r="K97" i="70"/>
  <c r="J97" i="70"/>
  <c r="I97" i="70"/>
  <c r="H97" i="70"/>
  <c r="F97" i="70"/>
  <c r="E97" i="70"/>
  <c r="L91" i="70"/>
  <c r="K91" i="70"/>
  <c r="J91" i="70"/>
  <c r="I91" i="70"/>
  <c r="H91" i="70"/>
  <c r="F91" i="70"/>
  <c r="E91" i="70"/>
  <c r="L83" i="70"/>
  <c r="K83" i="70"/>
  <c r="J83" i="70"/>
  <c r="I83" i="70"/>
  <c r="H83" i="70"/>
  <c r="F83" i="70"/>
  <c r="E83" i="70"/>
  <c r="L74" i="70"/>
  <c r="K74" i="70"/>
  <c r="I74" i="70"/>
  <c r="H74" i="70"/>
  <c r="F74" i="70"/>
  <c r="E74" i="70"/>
  <c r="L67" i="70"/>
  <c r="K67" i="70"/>
  <c r="J67" i="70"/>
  <c r="I67" i="70"/>
  <c r="H67" i="70"/>
  <c r="F67" i="70"/>
  <c r="E67" i="70"/>
  <c r="L56" i="70"/>
  <c r="K56" i="70"/>
  <c r="J56" i="70"/>
  <c r="H56" i="70"/>
  <c r="F56" i="70"/>
  <c r="E56" i="70"/>
  <c r="L49" i="70"/>
  <c r="K49" i="70"/>
  <c r="J49" i="70"/>
  <c r="F49" i="70"/>
  <c r="E49" i="70"/>
  <c r="K34" i="70"/>
  <c r="F34" i="70"/>
  <c r="M55" i="70"/>
  <c r="H49" i="70"/>
  <c r="I49" i="70"/>
  <c r="H34" i="70"/>
  <c r="I34" i="70"/>
  <c r="M135" i="70"/>
  <c r="M132" i="70"/>
  <c r="M131" i="70"/>
  <c r="M133" i="70"/>
  <c r="M129" i="70"/>
  <c r="M125" i="70"/>
  <c r="C126" i="70"/>
  <c r="M101" i="70"/>
  <c r="L34" i="70"/>
  <c r="M120" i="70"/>
  <c r="M119" i="70"/>
  <c r="M115" i="70"/>
  <c r="M114" i="70"/>
  <c r="M110" i="70"/>
  <c r="M111" i="70" s="1"/>
  <c r="M106" i="70"/>
  <c r="M105" i="70"/>
  <c r="M104" i="70"/>
  <c r="M103" i="70"/>
  <c r="M102" i="70"/>
  <c r="M100" i="70"/>
  <c r="M96" i="70"/>
  <c r="M95" i="70"/>
  <c r="M94" i="70"/>
  <c r="M90" i="70"/>
  <c r="M88" i="70"/>
  <c r="M87" i="70"/>
  <c r="M82" i="70"/>
  <c r="M81" i="70"/>
  <c r="M80" i="70"/>
  <c r="M79" i="70"/>
  <c r="M78" i="70"/>
  <c r="M77" i="70"/>
  <c r="M73" i="70"/>
  <c r="M71" i="70"/>
  <c r="M70" i="70"/>
  <c r="M66" i="70"/>
  <c r="M64" i="70"/>
  <c r="M63" i="70"/>
  <c r="M62" i="70"/>
  <c r="M61" i="70"/>
  <c r="M59" i="70"/>
  <c r="M54" i="70"/>
  <c r="M53" i="70"/>
  <c r="M52" i="70"/>
  <c r="M48" i="70"/>
  <c r="M47" i="70"/>
  <c r="M46" i="70"/>
  <c r="M45" i="70"/>
  <c r="M44" i="70"/>
  <c r="M43" i="70"/>
  <c r="M42" i="70"/>
  <c r="M41" i="70"/>
  <c r="M40" i="70"/>
  <c r="M38" i="70"/>
  <c r="M37" i="70"/>
  <c r="M33" i="70"/>
  <c r="M32" i="70"/>
  <c r="M31" i="70"/>
  <c r="M28" i="70"/>
  <c r="M27" i="70"/>
  <c r="M26" i="70"/>
  <c r="M25" i="70"/>
  <c r="M24" i="70"/>
  <c r="M22" i="70"/>
  <c r="M21" i="70"/>
  <c r="M20" i="70"/>
  <c r="M19" i="70"/>
  <c r="M18" i="70"/>
  <c r="M17" i="70"/>
  <c r="M16" i="70"/>
  <c r="M15" i="70"/>
  <c r="M14" i="70"/>
  <c r="M13" i="70"/>
  <c r="M12" i="70"/>
  <c r="M10" i="70"/>
  <c r="M9" i="70"/>
  <c r="M72" i="70"/>
  <c r="M23" i="70"/>
  <c r="E34" i="70"/>
  <c r="G40" i="5"/>
  <c r="G35" i="5"/>
  <c r="G29" i="5"/>
  <c r="G28" i="5"/>
  <c r="G47" i="74"/>
  <c r="G38" i="74"/>
  <c r="G33" i="74"/>
  <c r="G29" i="74"/>
  <c r="G28" i="74"/>
  <c r="G24" i="74"/>
  <c r="G23" i="74"/>
  <c r="G19" i="74"/>
  <c r="G18" i="74"/>
  <c r="G12" i="74"/>
  <c r="C26" i="3"/>
  <c r="J14" i="60"/>
  <c r="J43" i="72"/>
  <c r="J44" i="72" s="1"/>
  <c r="J10" i="44"/>
  <c r="I11" i="44"/>
  <c r="H11" i="44"/>
  <c r="G11" i="44"/>
  <c r="F11" i="44"/>
  <c r="E11" i="44"/>
  <c r="D11" i="44"/>
  <c r="C11" i="44"/>
  <c r="I13" i="45"/>
  <c r="H13" i="45"/>
  <c r="G13" i="45"/>
  <c r="F13" i="45"/>
  <c r="E13" i="45"/>
  <c r="D13" i="45"/>
  <c r="J9" i="45"/>
  <c r="J19" i="46"/>
  <c r="H69" i="80" l="1"/>
  <c r="T24" i="81"/>
  <c r="F24" i="81"/>
  <c r="J24" i="81"/>
  <c r="N24" i="81"/>
  <c r="C40" i="3"/>
  <c r="C56" i="3" s="1"/>
  <c r="V21" i="81"/>
  <c r="P24" i="81"/>
  <c r="H24" i="81"/>
  <c r="R52" i="81"/>
  <c r="F69" i="80"/>
  <c r="T40" i="81"/>
  <c r="T52" i="81" s="1"/>
  <c r="T54" i="81" s="1"/>
  <c r="T60" i="81" s="1"/>
  <c r="R24" i="81"/>
  <c r="N52" i="81"/>
  <c r="P52" i="81"/>
  <c r="J40" i="81"/>
  <c r="J52" i="81" s="1"/>
  <c r="J54" i="81" s="1"/>
  <c r="J60" i="81" s="1"/>
  <c r="V28" i="81"/>
  <c r="D52" i="81"/>
  <c r="D54" i="81" s="1"/>
  <c r="D60" i="81" s="1"/>
  <c r="H52" i="81"/>
  <c r="L52" i="81"/>
  <c r="L54" i="81" s="1"/>
  <c r="L60" i="81" s="1"/>
  <c r="B24" i="81"/>
  <c r="B40" i="81"/>
  <c r="B52" i="81" s="1"/>
  <c r="V8" i="81"/>
  <c r="V13" i="81" s="1"/>
  <c r="V33" i="81"/>
  <c r="F40" i="81"/>
  <c r="F52" i="81" s="1"/>
  <c r="V44" i="81"/>
  <c r="V50" i="81" s="1"/>
  <c r="D69" i="80"/>
  <c r="L67" i="80"/>
  <c r="L41" i="80"/>
  <c r="L53" i="80"/>
  <c r="L34" i="80"/>
  <c r="L65" i="80"/>
  <c r="D68" i="79"/>
  <c r="H68" i="79"/>
  <c r="L68" i="79"/>
  <c r="N63" i="79"/>
  <c r="B68" i="79"/>
  <c r="N40" i="79"/>
  <c r="N66" i="79"/>
  <c r="N8" i="79"/>
  <c r="N38" i="79"/>
  <c r="N49" i="79"/>
  <c r="F52" i="79"/>
  <c r="F68" i="79" s="1"/>
  <c r="N57" i="79"/>
  <c r="M30" i="70"/>
  <c r="M56" i="70"/>
  <c r="M67" i="70"/>
  <c r="M74" i="70"/>
  <c r="M83" i="70"/>
  <c r="M91" i="70"/>
  <c r="M97" i="70"/>
  <c r="M116" i="70"/>
  <c r="M121" i="70"/>
  <c r="M136" i="70"/>
  <c r="M107" i="70"/>
  <c r="E139" i="70"/>
  <c r="L139" i="70"/>
  <c r="I56" i="70"/>
  <c r="I139" i="70" s="1"/>
  <c r="K139" i="70"/>
  <c r="F139" i="70"/>
  <c r="J34" i="70"/>
  <c r="J74" i="70"/>
  <c r="M39" i="70"/>
  <c r="M49" i="70" s="1"/>
  <c r="M11" i="70"/>
  <c r="M124" i="70"/>
  <c r="M126" i="70" s="1"/>
  <c r="G39" i="74"/>
  <c r="G13" i="74"/>
  <c r="E31" i="78"/>
  <c r="E32" i="78" s="1"/>
  <c r="J51" i="48"/>
  <c r="I52" i="48"/>
  <c r="G52" i="48"/>
  <c r="F52" i="48"/>
  <c r="E52" i="48"/>
  <c r="D52" i="48"/>
  <c r="J75" i="48"/>
  <c r="L69" i="80" l="1"/>
  <c r="N54" i="81"/>
  <c r="N60" i="81" s="1"/>
  <c r="R54" i="81"/>
  <c r="R60" i="81" s="1"/>
  <c r="H54" i="81"/>
  <c r="H60" i="81" s="1"/>
  <c r="F54" i="81"/>
  <c r="F60" i="81" s="1"/>
  <c r="M34" i="70"/>
  <c r="V24" i="81"/>
  <c r="P54" i="81"/>
  <c r="P60" i="81" s="1"/>
  <c r="B54" i="81"/>
  <c r="B60" i="81" s="1"/>
  <c r="V40" i="81"/>
  <c r="V52" i="81" s="1"/>
  <c r="N68" i="79"/>
  <c r="N52" i="79"/>
  <c r="J139" i="70"/>
  <c r="H52" i="48"/>
  <c r="V54" i="81" l="1"/>
  <c r="V60" i="81" s="1"/>
  <c r="T66" i="64"/>
  <c r="T65" i="64"/>
  <c r="T64" i="64"/>
  <c r="T63" i="64"/>
  <c r="T37" i="64"/>
  <c r="T36" i="64"/>
  <c r="T13" i="64"/>
  <c r="G25" i="5" l="1"/>
  <c r="J26" i="48" l="1"/>
  <c r="J56" i="48" l="1"/>
  <c r="J50" i="48"/>
  <c r="J52" i="48" s="1"/>
  <c r="J74" i="48"/>
  <c r="J73" i="48"/>
  <c r="J72" i="48"/>
  <c r="J71" i="48"/>
  <c r="J70" i="48"/>
  <c r="J69" i="48"/>
  <c r="J59" i="48"/>
  <c r="I77" i="48"/>
  <c r="I80" i="48" s="1"/>
  <c r="H77" i="48"/>
  <c r="H80" i="48" s="1"/>
  <c r="G77" i="48"/>
  <c r="G80" i="48" s="1"/>
  <c r="F77" i="48"/>
  <c r="F80" i="48" s="1"/>
  <c r="E77" i="48"/>
  <c r="E80" i="48" s="1"/>
  <c r="D77" i="48"/>
  <c r="D80" i="48" s="1"/>
  <c r="J76" i="48"/>
  <c r="J65" i="48"/>
  <c r="J67" i="48"/>
  <c r="J68" i="48"/>
  <c r="J61" i="48"/>
  <c r="J60" i="48"/>
  <c r="J64" i="48"/>
  <c r="J63" i="48"/>
  <c r="J62" i="48"/>
  <c r="J66" i="48"/>
  <c r="J104" i="66"/>
  <c r="J97" i="66"/>
  <c r="J102" i="66"/>
  <c r="J83" i="66"/>
  <c r="J82" i="66"/>
  <c r="J81" i="66"/>
  <c r="J80" i="66"/>
  <c r="J79" i="66"/>
  <c r="J78" i="66"/>
  <c r="J77" i="66"/>
  <c r="J76" i="66"/>
  <c r="J75" i="66"/>
  <c r="J74" i="66"/>
  <c r="J73" i="66"/>
  <c r="J72" i="66"/>
  <c r="J71" i="66"/>
  <c r="J70" i="66"/>
  <c r="J69" i="66"/>
  <c r="J68" i="66"/>
  <c r="J67" i="66"/>
  <c r="J64" i="66"/>
  <c r="J63" i="66"/>
  <c r="J62" i="66"/>
  <c r="J61" i="66"/>
  <c r="J60" i="66"/>
  <c r="J59" i="66"/>
  <c r="J58" i="66"/>
  <c r="J57" i="66"/>
  <c r="J56" i="66"/>
  <c r="J55" i="66"/>
  <c r="J54" i="66"/>
  <c r="J51" i="66"/>
  <c r="J36" i="66"/>
  <c r="J35" i="66"/>
  <c r="J34" i="66"/>
  <c r="J33" i="66"/>
  <c r="J32" i="66"/>
  <c r="J31" i="66"/>
  <c r="J30" i="66"/>
  <c r="J29" i="66"/>
  <c r="J28" i="66"/>
  <c r="J27" i="66"/>
  <c r="J26" i="66"/>
  <c r="J25" i="66"/>
  <c r="J22" i="66"/>
  <c r="J21" i="66"/>
  <c r="J20" i="66"/>
  <c r="J19" i="66"/>
  <c r="J18" i="66"/>
  <c r="J17" i="66"/>
  <c r="J16" i="66"/>
  <c r="J15" i="66"/>
  <c r="J14" i="66"/>
  <c r="J13" i="66"/>
  <c r="J12" i="66"/>
  <c r="J103" i="66"/>
  <c r="J101" i="66"/>
  <c r="J100" i="66"/>
  <c r="J98" i="66"/>
  <c r="J105" i="66"/>
  <c r="J99" i="66"/>
  <c r="I86" i="66"/>
  <c r="H86" i="66"/>
  <c r="G86" i="66"/>
  <c r="F86" i="66"/>
  <c r="E86" i="66"/>
  <c r="D86" i="66"/>
  <c r="I39" i="66"/>
  <c r="H39" i="66"/>
  <c r="G39" i="66"/>
  <c r="F39" i="66"/>
  <c r="E39" i="66"/>
  <c r="D39" i="66"/>
  <c r="J109" i="66"/>
  <c r="J111" i="66" s="1"/>
  <c r="I106" i="66"/>
  <c r="G106" i="66"/>
  <c r="F106" i="66"/>
  <c r="E106" i="66"/>
  <c r="D106" i="66"/>
  <c r="J25" i="46"/>
  <c r="J27" i="46"/>
  <c r="J26" i="46"/>
  <c r="J24" i="46"/>
  <c r="J16" i="46"/>
  <c r="J23" i="46"/>
  <c r="J15" i="46"/>
  <c r="J14" i="46"/>
  <c r="I32" i="45"/>
  <c r="H32" i="45"/>
  <c r="G32" i="45"/>
  <c r="F32" i="45"/>
  <c r="E32" i="45"/>
  <c r="D32" i="45"/>
  <c r="J28" i="45"/>
  <c r="I24" i="44"/>
  <c r="H24" i="44"/>
  <c r="G24" i="44"/>
  <c r="F24" i="44"/>
  <c r="E24" i="44"/>
  <c r="D24" i="44"/>
  <c r="C24" i="44"/>
  <c r="J23" i="44"/>
  <c r="J52" i="72"/>
  <c r="J24" i="72"/>
  <c r="J22" i="72"/>
  <c r="J25" i="72"/>
  <c r="J21" i="72"/>
  <c r="G50" i="5"/>
  <c r="G26" i="5"/>
  <c r="G66" i="74"/>
  <c r="G65" i="74"/>
  <c r="H116" i="66" l="1"/>
  <c r="J77" i="48"/>
  <c r="J80" i="48" s="1"/>
  <c r="D113" i="66"/>
  <c r="D116" i="66" s="1"/>
  <c r="F113" i="66"/>
  <c r="F116" i="66" s="1"/>
  <c r="I113" i="66"/>
  <c r="I116" i="66" s="1"/>
  <c r="C113" i="66"/>
  <c r="C116" i="66" s="1"/>
  <c r="E113" i="66"/>
  <c r="E116" i="66" s="1"/>
  <c r="G113" i="66"/>
  <c r="G116" i="66" s="1"/>
  <c r="K86" i="66"/>
  <c r="J86" i="66"/>
  <c r="J106" i="66"/>
  <c r="J113" i="66" s="1"/>
  <c r="J117" i="66" l="1"/>
  <c r="K113" i="66"/>
  <c r="C97" i="70"/>
  <c r="I20" i="60"/>
  <c r="H20" i="60"/>
  <c r="G20" i="60"/>
  <c r="F20" i="60"/>
  <c r="E20" i="60"/>
  <c r="D20" i="60"/>
  <c r="H44" i="63"/>
  <c r="G30" i="63" l="1"/>
  <c r="G33" i="63" s="1"/>
  <c r="G12" i="63"/>
  <c r="G21" i="63"/>
  <c r="G16" i="63"/>
  <c r="E23" i="63"/>
  <c r="E14" i="63"/>
  <c r="E18" i="63" s="1"/>
  <c r="E25" i="63" l="1"/>
  <c r="E36" i="63" s="1"/>
  <c r="D28" i="78"/>
  <c r="C28" i="78"/>
  <c r="D20" i="78"/>
  <c r="C20" i="78"/>
  <c r="J33" i="46"/>
  <c r="I30" i="46"/>
  <c r="H30" i="46"/>
  <c r="G30" i="46"/>
  <c r="F30" i="46"/>
  <c r="E30" i="46"/>
  <c r="D30" i="46"/>
  <c r="C30" i="46"/>
  <c r="J11" i="46"/>
  <c r="J9" i="46"/>
  <c r="D33" i="78" l="1"/>
  <c r="J59" i="72"/>
  <c r="J60" i="72" s="1"/>
  <c r="C20" i="60"/>
  <c r="J19" i="60"/>
  <c r="J12" i="60"/>
  <c r="G54" i="74"/>
  <c r="G51" i="74"/>
  <c r="G61" i="5"/>
  <c r="G60" i="5"/>
  <c r="G59" i="5"/>
  <c r="G58" i="5"/>
  <c r="G57" i="5"/>
  <c r="G56" i="5"/>
  <c r="G55" i="5"/>
  <c r="G51" i="5"/>
  <c r="G49" i="5"/>
  <c r="G48" i="5"/>
  <c r="G47" i="5"/>
  <c r="G46" i="5"/>
  <c r="G45" i="5"/>
  <c r="G44" i="5"/>
  <c r="G36" i="5"/>
  <c r="G34" i="5"/>
  <c r="G33" i="5"/>
  <c r="G32" i="5"/>
  <c r="G31" i="5"/>
  <c r="G30" i="5"/>
  <c r="G27" i="5"/>
  <c r="G24" i="5"/>
  <c r="G23" i="5"/>
  <c r="G22" i="5"/>
  <c r="G20" i="5"/>
  <c r="G19" i="5"/>
  <c r="G15" i="5"/>
  <c r="G14" i="5"/>
  <c r="G13" i="5"/>
  <c r="G12" i="5"/>
  <c r="G11" i="5"/>
  <c r="F62" i="5"/>
  <c r="E62" i="5"/>
  <c r="C136" i="70"/>
  <c r="G62" i="5" l="1"/>
  <c r="C121" i="70"/>
  <c r="H14" i="63" l="1"/>
  <c r="H18" i="63" s="1"/>
  <c r="F14" i="63"/>
  <c r="F18" i="63" s="1"/>
  <c r="D14" i="63"/>
  <c r="D18" i="63" s="1"/>
  <c r="T34" i="64" l="1"/>
  <c r="T33" i="64"/>
  <c r="H17" i="61" l="1"/>
  <c r="I10" i="48"/>
  <c r="H10" i="48"/>
  <c r="G10" i="48"/>
  <c r="F10" i="48"/>
  <c r="E10" i="48"/>
  <c r="D10" i="48"/>
  <c r="J9" i="48"/>
  <c r="J8" i="48"/>
  <c r="T27" i="64" l="1"/>
  <c r="G10" i="74" l="1"/>
  <c r="G16" i="74"/>
  <c r="G22" i="74"/>
  <c r="G26" i="74"/>
  <c r="G32" i="74"/>
  <c r="G36" i="74"/>
  <c r="G42" i="74"/>
  <c r="G46" i="74"/>
  <c r="G49" i="74"/>
  <c r="G44" i="74"/>
  <c r="G61" i="74"/>
  <c r="G62" i="74"/>
  <c r="G64" i="74"/>
  <c r="E67" i="74"/>
  <c r="E69" i="74" s="1"/>
  <c r="F67" i="74"/>
  <c r="F69" i="74" s="1"/>
  <c r="G56" i="74" l="1"/>
  <c r="G67" i="74"/>
  <c r="G69" i="74" l="1"/>
  <c r="J7" i="48"/>
  <c r="J10" i="48" s="1"/>
  <c r="J14" i="48"/>
  <c r="J15" i="48"/>
  <c r="D16" i="48"/>
  <c r="E16" i="48"/>
  <c r="F16" i="48"/>
  <c r="G16" i="48"/>
  <c r="H16" i="48"/>
  <c r="I16" i="48"/>
  <c r="J19" i="48"/>
  <c r="J20" i="48"/>
  <c r="J21" i="48"/>
  <c r="D22" i="48"/>
  <c r="E22" i="48"/>
  <c r="F22" i="48"/>
  <c r="G22" i="48"/>
  <c r="H22" i="48"/>
  <c r="I22" i="48"/>
  <c r="J25" i="48"/>
  <c r="J27" i="48"/>
  <c r="D28" i="48"/>
  <c r="E28" i="48"/>
  <c r="F28" i="48"/>
  <c r="G28" i="48"/>
  <c r="H28" i="48"/>
  <c r="I28" i="48"/>
  <c r="J31" i="48"/>
  <c r="J32" i="48" s="1"/>
  <c r="D32" i="48"/>
  <c r="E32" i="48"/>
  <c r="F32" i="48"/>
  <c r="G32" i="48"/>
  <c r="H32" i="48"/>
  <c r="I32" i="48"/>
  <c r="J35" i="48"/>
  <c r="J36" i="48"/>
  <c r="D37" i="48"/>
  <c r="E37" i="48"/>
  <c r="F37" i="48"/>
  <c r="G37" i="48"/>
  <c r="H37" i="48"/>
  <c r="I37" i="48"/>
  <c r="G10" i="5"/>
  <c r="E16" i="5"/>
  <c r="F16" i="5"/>
  <c r="E37" i="5"/>
  <c r="F37" i="5"/>
  <c r="G43" i="5"/>
  <c r="E52" i="5"/>
  <c r="F52" i="5"/>
  <c r="J9" i="61"/>
  <c r="C17" i="61"/>
  <c r="D17" i="61"/>
  <c r="E17" i="61"/>
  <c r="F17" i="61"/>
  <c r="G17" i="61"/>
  <c r="I17" i="61"/>
  <c r="T8" i="64"/>
  <c r="T11" i="64"/>
  <c r="T12" i="64"/>
  <c r="T14" i="64"/>
  <c r="T15" i="64"/>
  <c r="T16" i="64"/>
  <c r="T17" i="64"/>
  <c r="T18" i="64"/>
  <c r="T19" i="64"/>
  <c r="T20" i="64"/>
  <c r="T21" i="64"/>
  <c r="T22" i="64"/>
  <c r="T23" i="64"/>
  <c r="T24" i="64"/>
  <c r="T25" i="64"/>
  <c r="T26" i="64"/>
  <c r="T28" i="64"/>
  <c r="T29" i="64"/>
  <c r="T30" i="64"/>
  <c r="T31" i="64"/>
  <c r="T32" i="64"/>
  <c r="T35" i="64"/>
  <c r="T38" i="64"/>
  <c r="T39" i="64"/>
  <c r="T40" i="64"/>
  <c r="B41" i="64"/>
  <c r="D41" i="64"/>
  <c r="F41" i="64"/>
  <c r="H41" i="64"/>
  <c r="J41" i="64"/>
  <c r="L41" i="64"/>
  <c r="N41" i="64"/>
  <c r="P41" i="64"/>
  <c r="R41" i="64"/>
  <c r="T44" i="64"/>
  <c r="T45" i="64"/>
  <c r="T46" i="64"/>
  <c r="T47" i="64"/>
  <c r="T48" i="64"/>
  <c r="T49" i="64"/>
  <c r="T50" i="64"/>
  <c r="T52" i="64"/>
  <c r="T53" i="64"/>
  <c r="B54" i="64"/>
  <c r="D54" i="64"/>
  <c r="F54" i="64"/>
  <c r="H54" i="64"/>
  <c r="J54" i="64"/>
  <c r="L54" i="64"/>
  <c r="N54" i="64"/>
  <c r="P54" i="64"/>
  <c r="R54" i="64"/>
  <c r="T58" i="64"/>
  <c r="T60" i="64"/>
  <c r="T61" i="64"/>
  <c r="T62" i="64"/>
  <c r="T67" i="64"/>
  <c r="T68" i="64"/>
  <c r="B69" i="64"/>
  <c r="D69" i="64"/>
  <c r="F69" i="64"/>
  <c r="H69" i="64"/>
  <c r="J69" i="64"/>
  <c r="L69" i="64"/>
  <c r="N69" i="64"/>
  <c r="P69" i="64"/>
  <c r="R69" i="64"/>
  <c r="C34" i="70"/>
  <c r="C49" i="70"/>
  <c r="C56" i="70"/>
  <c r="C67" i="70"/>
  <c r="C74" i="70"/>
  <c r="C83" i="70"/>
  <c r="C91" i="70"/>
  <c r="C107" i="70"/>
  <c r="C111" i="70"/>
  <c r="C116" i="70"/>
  <c r="J9" i="60"/>
  <c r="J11" i="60"/>
  <c r="J23" i="60"/>
  <c r="C24" i="60"/>
  <c r="D24" i="60"/>
  <c r="E24" i="60"/>
  <c r="F24" i="60"/>
  <c r="G24" i="60"/>
  <c r="H24" i="60"/>
  <c r="I24" i="60"/>
  <c r="J24" i="60"/>
  <c r="J27" i="60"/>
  <c r="C28" i="60"/>
  <c r="D28" i="60"/>
  <c r="E28" i="60"/>
  <c r="F28" i="60"/>
  <c r="G28" i="60"/>
  <c r="H28" i="60"/>
  <c r="I28" i="60"/>
  <c r="J28" i="60"/>
  <c r="J31" i="60"/>
  <c r="C32" i="60"/>
  <c r="D32" i="60"/>
  <c r="E32" i="60"/>
  <c r="F32" i="60"/>
  <c r="G32" i="60"/>
  <c r="H32" i="60"/>
  <c r="I32" i="60"/>
  <c r="J32" i="60"/>
  <c r="J35" i="60"/>
  <c r="C36" i="60"/>
  <c r="D36" i="60"/>
  <c r="E36" i="60"/>
  <c r="F36" i="60"/>
  <c r="G36" i="60"/>
  <c r="H36" i="60"/>
  <c r="I36" i="60"/>
  <c r="J36" i="60"/>
  <c r="C58" i="3"/>
  <c r="G14" i="63"/>
  <c r="G18" i="63" s="1"/>
  <c r="D23" i="63"/>
  <c r="D25" i="63" s="1"/>
  <c r="F23" i="63"/>
  <c r="F25" i="63" s="1"/>
  <c r="H23" i="63"/>
  <c r="J6" i="46"/>
  <c r="J28" i="46"/>
  <c r="J21" i="46"/>
  <c r="J22" i="46"/>
  <c r="J20" i="46"/>
  <c r="J10" i="46"/>
  <c r="C34" i="46"/>
  <c r="C36" i="46" s="1"/>
  <c r="D34" i="46"/>
  <c r="D36" i="46" s="1"/>
  <c r="E34" i="46"/>
  <c r="E36" i="46" s="1"/>
  <c r="F34" i="46"/>
  <c r="F36" i="46" s="1"/>
  <c r="G34" i="46"/>
  <c r="G36" i="46" s="1"/>
  <c r="H34" i="46"/>
  <c r="H36" i="46" s="1"/>
  <c r="I34" i="46"/>
  <c r="I36" i="46" s="1"/>
  <c r="J34" i="46"/>
  <c r="J12" i="45"/>
  <c r="J13" i="45" s="1"/>
  <c r="J16" i="45"/>
  <c r="J17" i="45" s="1"/>
  <c r="D17" i="45"/>
  <c r="E17" i="45"/>
  <c r="F17" i="45"/>
  <c r="G17" i="45"/>
  <c r="H17" i="45"/>
  <c r="I17" i="45"/>
  <c r="D23" i="45"/>
  <c r="E23" i="45"/>
  <c r="F23" i="45"/>
  <c r="F34" i="45" s="1"/>
  <c r="G23" i="45"/>
  <c r="H23" i="45"/>
  <c r="I23" i="45"/>
  <c r="J27" i="45"/>
  <c r="J30" i="45"/>
  <c r="J31" i="45"/>
  <c r="J8" i="44"/>
  <c r="J11" i="44" s="1"/>
  <c r="J14" i="44"/>
  <c r="C15" i="44"/>
  <c r="C26" i="44" s="1"/>
  <c r="D15" i="44"/>
  <c r="D26" i="44" s="1"/>
  <c r="E15" i="44"/>
  <c r="E26" i="44" s="1"/>
  <c r="F15" i="44"/>
  <c r="F26" i="44" s="1"/>
  <c r="G15" i="44"/>
  <c r="G26" i="44" s="1"/>
  <c r="H15" i="44"/>
  <c r="H26" i="44" s="1"/>
  <c r="I15" i="44"/>
  <c r="I26" i="44" s="1"/>
  <c r="J15" i="44"/>
  <c r="J22" i="44"/>
  <c r="J24" i="44" s="1"/>
  <c r="J12" i="72"/>
  <c r="D13" i="72"/>
  <c r="E13" i="72"/>
  <c r="F13" i="72"/>
  <c r="G13" i="72"/>
  <c r="H13" i="72"/>
  <c r="I13" i="72"/>
  <c r="J16" i="72"/>
  <c r="D26" i="72"/>
  <c r="E26" i="72"/>
  <c r="F26" i="72"/>
  <c r="G26" i="72"/>
  <c r="H26" i="72"/>
  <c r="I26" i="72"/>
  <c r="J29" i="72"/>
  <c r="J30" i="72" s="1"/>
  <c r="D30" i="72"/>
  <c r="E30" i="72"/>
  <c r="F30" i="72"/>
  <c r="G30" i="72"/>
  <c r="H30" i="72"/>
  <c r="I30" i="72"/>
  <c r="J33" i="72"/>
  <c r="D34" i="72"/>
  <c r="E34" i="72"/>
  <c r="F34" i="72"/>
  <c r="G34" i="72"/>
  <c r="H34" i="72"/>
  <c r="I34" i="72"/>
  <c r="J37" i="72"/>
  <c r="J38" i="72" s="1"/>
  <c r="D38" i="72"/>
  <c r="E38" i="72"/>
  <c r="F38" i="72"/>
  <c r="G38" i="72"/>
  <c r="H38" i="72"/>
  <c r="I38" i="72"/>
  <c r="J47" i="72"/>
  <c r="J48" i="72" s="1"/>
  <c r="D48" i="72"/>
  <c r="E48" i="72"/>
  <c r="F48" i="72"/>
  <c r="G48" i="72"/>
  <c r="H48" i="72"/>
  <c r="I48" i="72"/>
  <c r="J51" i="72"/>
  <c r="J54" i="72"/>
  <c r="D55" i="72"/>
  <c r="E55" i="72"/>
  <c r="F55" i="72"/>
  <c r="G55" i="72"/>
  <c r="H55" i="72"/>
  <c r="I55" i="72"/>
  <c r="J63" i="72"/>
  <c r="C64" i="72"/>
  <c r="D64" i="72"/>
  <c r="E64" i="72"/>
  <c r="F64" i="72"/>
  <c r="G64" i="72"/>
  <c r="H64" i="72"/>
  <c r="I64" i="72"/>
  <c r="J64" i="72"/>
  <c r="J9" i="66"/>
  <c r="E12" i="78"/>
  <c r="E14" i="78"/>
  <c r="E15" i="78"/>
  <c r="E16" i="78"/>
  <c r="E17" i="78"/>
  <c r="E18" i="78"/>
  <c r="E19" i="78"/>
  <c r="E22" i="78"/>
  <c r="E23" i="78"/>
  <c r="E24" i="78"/>
  <c r="E25" i="78"/>
  <c r="E27" i="78"/>
  <c r="E36" i="78"/>
  <c r="E39" i="78"/>
  <c r="E40" i="78"/>
  <c r="E41" i="78"/>
  <c r="C42" i="78"/>
  <c r="D42" i="78"/>
  <c r="B54" i="78"/>
  <c r="B64" i="78"/>
  <c r="D71" i="64" l="1"/>
  <c r="H71" i="64"/>
  <c r="N71" i="64"/>
  <c r="J26" i="44"/>
  <c r="F65" i="5"/>
  <c r="E65" i="5"/>
  <c r="C139" i="70"/>
  <c r="H139" i="70"/>
  <c r="H38" i="60"/>
  <c r="F38" i="60"/>
  <c r="D38" i="60"/>
  <c r="J32" i="45"/>
  <c r="I38" i="60"/>
  <c r="G38" i="60"/>
  <c r="E38" i="60"/>
  <c r="C38" i="60"/>
  <c r="P71" i="64"/>
  <c r="F71" i="64"/>
  <c r="I40" i="48"/>
  <c r="I83" i="48" s="1"/>
  <c r="G40" i="48"/>
  <c r="G83" i="48" s="1"/>
  <c r="E40" i="48"/>
  <c r="E83" i="48" s="1"/>
  <c r="H40" i="48"/>
  <c r="H83" i="48" s="1"/>
  <c r="F40" i="48"/>
  <c r="F83" i="48" s="1"/>
  <c r="D40" i="48"/>
  <c r="D83" i="48" s="1"/>
  <c r="J39" i="66"/>
  <c r="J116" i="66" s="1"/>
  <c r="J20" i="60"/>
  <c r="J38" i="60" s="1"/>
  <c r="D36" i="63"/>
  <c r="E28" i="78"/>
  <c r="E20" i="78"/>
  <c r="J18" i="61"/>
  <c r="J30" i="46"/>
  <c r="J36" i="46" s="1"/>
  <c r="G34" i="45"/>
  <c r="D34" i="45"/>
  <c r="I66" i="72"/>
  <c r="H66" i="72"/>
  <c r="F66" i="72"/>
  <c r="J27" i="44"/>
  <c r="G66" i="72"/>
  <c r="E66" i="72"/>
  <c r="D66" i="72"/>
  <c r="C66" i="72"/>
  <c r="H34" i="45"/>
  <c r="J37" i="48"/>
  <c r="J16" i="48"/>
  <c r="G52" i="5"/>
  <c r="G37" i="5"/>
  <c r="G16" i="5"/>
  <c r="R71" i="64"/>
  <c r="J71" i="64"/>
  <c r="L71" i="64"/>
  <c r="H25" i="63"/>
  <c r="H36" i="63" s="1"/>
  <c r="G23" i="63"/>
  <c r="G25" i="63" s="1"/>
  <c r="G36" i="63" s="1"/>
  <c r="J28" i="48"/>
  <c r="J22" i="48"/>
  <c r="J37" i="46"/>
  <c r="J23" i="45"/>
  <c r="I34" i="45"/>
  <c r="E34" i="45"/>
  <c r="J55" i="72"/>
  <c r="J34" i="72"/>
  <c r="J26" i="72"/>
  <c r="J13" i="72"/>
  <c r="J17" i="61"/>
  <c r="T54" i="64"/>
  <c r="T41" i="64"/>
  <c r="B71" i="64"/>
  <c r="T69" i="64"/>
  <c r="E42" i="78"/>
  <c r="E33" i="78" l="1"/>
  <c r="G65" i="5"/>
  <c r="M139" i="70"/>
  <c r="J84" i="48"/>
  <c r="J40" i="48"/>
  <c r="J83" i="48" s="1"/>
  <c r="K41" i="48"/>
  <c r="K39" i="66"/>
  <c r="J35" i="45"/>
  <c r="J66" i="72"/>
  <c r="J39" i="60"/>
  <c r="H65" i="5"/>
  <c r="T71" i="64"/>
  <c r="J67" i="72"/>
  <c r="J34" i="45"/>
  <c r="F36" i="63"/>
</calcChain>
</file>

<file path=xl/sharedStrings.xml><?xml version="1.0" encoding="utf-8"?>
<sst xmlns="http://schemas.openxmlformats.org/spreadsheetml/2006/main" count="1545" uniqueCount="891">
  <si>
    <t xml:space="preserve">     </t>
  </si>
  <si>
    <t>Other Departmental Receivables</t>
  </si>
  <si>
    <t>Trust Funds</t>
  </si>
  <si>
    <t>Unreserved Fund Balance-Designated</t>
  </si>
  <si>
    <t>Investment in Fixed Assets</t>
  </si>
  <si>
    <t>Fixed Assets-Property, Plant &amp; Equipment</t>
  </si>
  <si>
    <t>Other Departmental Revenue</t>
  </si>
  <si>
    <t>Other Adjustments</t>
  </si>
  <si>
    <t>Receivable/Payable/</t>
  </si>
  <si>
    <t xml:space="preserve">          Capital Project Funds</t>
  </si>
  <si>
    <t xml:space="preserve">          General Fund </t>
  </si>
  <si>
    <t>General Stabilization</t>
  </si>
  <si>
    <t>General Stabilization-Reduce Levy</t>
  </si>
  <si>
    <t>School Committee</t>
  </si>
  <si>
    <t>Memorial &amp; Veterans Day</t>
  </si>
  <si>
    <t>SRPEDD Assessment</t>
  </si>
  <si>
    <t>Administrator</t>
  </si>
  <si>
    <t>Town Treasurer</t>
  </si>
  <si>
    <t>Management Information Systems</t>
  </si>
  <si>
    <t>Communications</t>
  </si>
  <si>
    <t>Building Department</t>
  </si>
  <si>
    <t>Committed Interest-Added to Taxes</t>
  </si>
  <si>
    <t>Conservation-Consulting Accounts</t>
  </si>
  <si>
    <t>Planning Board-Consulting Accounts</t>
  </si>
  <si>
    <t>Permit Fees</t>
  </si>
  <si>
    <t>WATER ASSESSMENTS</t>
  </si>
  <si>
    <t>App. Betterments-Added to Taxes</t>
  </si>
  <si>
    <t>App. Betterments-Not Yet Due</t>
  </si>
  <si>
    <t>Interest on Betterments-Not Yet Due</t>
  </si>
  <si>
    <t>Water Betterment Liens-Added to Taxes</t>
  </si>
  <si>
    <t>Water Enterprise</t>
  </si>
  <si>
    <t xml:space="preserve">Water Long </t>
  </si>
  <si>
    <t>Trust Funds &amp;</t>
  </si>
  <si>
    <t>Agency Accounts</t>
  </si>
  <si>
    <t xml:space="preserve">          Trust Funds</t>
  </si>
  <si>
    <t>Other Taxes</t>
  </si>
  <si>
    <t>Payments in Lieu of Taxes</t>
  </si>
  <si>
    <t>Chapter 70</t>
  </si>
  <si>
    <t>Mass. School Building Authority</t>
  </si>
  <si>
    <t>Other Revenue From the State</t>
  </si>
  <si>
    <t>School Transportation</t>
  </si>
  <si>
    <t>Enterprise Funds</t>
  </si>
  <si>
    <t>Agency Funds</t>
  </si>
  <si>
    <t>Public Works</t>
  </si>
  <si>
    <t>Due to School Districts/Others</t>
  </si>
  <si>
    <t>TOWN OF FREETOWN</t>
  </si>
  <si>
    <t>Town of Freetown</t>
  </si>
  <si>
    <t>Morgan Memorial</t>
  </si>
  <si>
    <t>J. L. Lawton Kirker Memorial</t>
  </si>
  <si>
    <t>Annie S. Hunt</t>
  </si>
  <si>
    <t>C. Clark Scholarship Fund</t>
  </si>
  <si>
    <t>Warren Cudworth</t>
  </si>
  <si>
    <t>Gager</t>
  </si>
  <si>
    <t>A. A. Paine</t>
  </si>
  <si>
    <t>Betsey Hathawy</t>
  </si>
  <si>
    <t>George Hathaway</t>
  </si>
  <si>
    <t>H. Douglas Dana</t>
  </si>
  <si>
    <t>M. Marvin Fletcher</t>
  </si>
  <si>
    <t>C. Isabel Hathaway</t>
  </si>
  <si>
    <t>Assonet Cemetery</t>
  </si>
  <si>
    <t>Chace Cemetery</t>
  </si>
  <si>
    <t>Morton Cemetery</t>
  </si>
  <si>
    <t>White Cemetery</t>
  </si>
  <si>
    <t>Evans Cemetery</t>
  </si>
  <si>
    <t>J. White Therrien</t>
  </si>
  <si>
    <t>White Memorial</t>
  </si>
  <si>
    <t>C. Clark Memorial</t>
  </si>
  <si>
    <t>R.Parker Memorial</t>
  </si>
  <si>
    <t>C. Kendrick Memorial</t>
  </si>
  <si>
    <t>I. B. Plouffe</t>
  </si>
  <si>
    <t>Rounsevelle Cemetery</t>
  </si>
  <si>
    <t>Conservation</t>
  </si>
  <si>
    <t>Symp. &amp; Hosp.</t>
  </si>
  <si>
    <t>Fire Call Disability</t>
  </si>
  <si>
    <t>Unfunded Pension</t>
  </si>
  <si>
    <t>Parade/Fire/Recreation</t>
  </si>
  <si>
    <t>Transfers In</t>
  </si>
  <si>
    <t>Transfers Out</t>
  </si>
  <si>
    <t>Police Res. Disability</t>
  </si>
  <si>
    <t>Scholar &amp; Education</t>
  </si>
  <si>
    <t>Elderly &amp; Disabled</t>
  </si>
  <si>
    <t>Tax Liens</t>
  </si>
  <si>
    <t>Motor Vehicle Taxes</t>
  </si>
  <si>
    <t>Boat Excise Taxes</t>
  </si>
  <si>
    <t>Retainage Payable</t>
  </si>
  <si>
    <t>Due to Other Governments</t>
  </si>
  <si>
    <t>Net Assets, Restricted</t>
  </si>
  <si>
    <t>Net Assets, Unrestricted</t>
  </si>
  <si>
    <t>Accrued Payroll &amp; Amounts Withheld</t>
  </si>
  <si>
    <t>Personal Property  Taxes</t>
  </si>
  <si>
    <t>Deferred Property Taxes</t>
  </si>
  <si>
    <t>TOTAL EDUCATION</t>
  </si>
  <si>
    <t>FEMA GRANTS</t>
  </si>
  <si>
    <t>COMMUNITY DEVELOPMENT BLOCK GRANTS</t>
  </si>
  <si>
    <t>TOTAL ALL FEDERAL GRANTS</t>
  </si>
  <si>
    <t>TOTAL FEMA GRANTS</t>
  </si>
  <si>
    <t>TOTAL ALL STATE GRANTS</t>
  </si>
  <si>
    <t>PUBLIC WORKS</t>
  </si>
  <si>
    <t>TOTAL PUBLIC WORKS</t>
  </si>
  <si>
    <t>INSURANCE OVER $20,000.00</t>
  </si>
  <si>
    <t>Sale of Real Estate</t>
  </si>
  <si>
    <t>Sale of Cemetery Lots</t>
  </si>
  <si>
    <t>TOTAL INSURANCE</t>
  </si>
  <si>
    <t>CH. 44, S 53E-1/2 REVOLVING</t>
  </si>
  <si>
    <t>Elections</t>
  </si>
  <si>
    <t>LIBRARY</t>
  </si>
  <si>
    <t>Library Plan &amp; Design</t>
  </si>
  <si>
    <t>TOTAL LIBRARY</t>
  </si>
  <si>
    <t>Cable Public Access</t>
  </si>
  <si>
    <t>Water Conservation Grant</t>
  </si>
  <si>
    <t>Police Insurance Recovery</t>
  </si>
  <si>
    <t>Recycling Fund</t>
  </si>
  <si>
    <t>GIFTS &amp; DONATIONS</t>
  </si>
  <si>
    <t>Bicycle Safety</t>
  </si>
  <si>
    <t>Cablevision Fund</t>
  </si>
  <si>
    <t>Library Donations</t>
  </si>
  <si>
    <t>Compost Bins</t>
  </si>
  <si>
    <t>Historical</t>
  </si>
  <si>
    <t>Boston Beer</t>
  </si>
  <si>
    <t>Stop &amp; Shop Smart Growth</t>
  </si>
  <si>
    <t>Apportioned Assessments, Not Yet Due</t>
  </si>
  <si>
    <t>Apportioned Assess.-Added To Taxes</t>
  </si>
  <si>
    <t>Apportioned Interest-Added To Taxes</t>
  </si>
  <si>
    <t>Ambulance Receivable</t>
  </si>
  <si>
    <t>TOTAL ALL REVOLVING FUNDS</t>
  </si>
  <si>
    <t>TOTAL ALL OTHER SPECIAL REVENUE FUNDS</t>
  </si>
  <si>
    <t>TOTAL ALL RECEIPTS RESERVED FUNDS</t>
  </si>
  <si>
    <t>Firearms Overlay-FID Licenses</t>
  </si>
  <si>
    <t>Police Details</t>
  </si>
  <si>
    <t>Fire Details</t>
  </si>
  <si>
    <t>Unclaimed Items</t>
  </si>
  <si>
    <t>Sewer Usage</t>
  </si>
  <si>
    <t>Receipts Reserved for Appropriation</t>
  </si>
  <si>
    <t xml:space="preserve"> </t>
  </si>
  <si>
    <t>All Funds</t>
  </si>
  <si>
    <t xml:space="preserve">               Statement of Appropriations</t>
  </si>
  <si>
    <t xml:space="preserve">          Special Revenue Funds               </t>
  </si>
  <si>
    <t>Highway</t>
  </si>
  <si>
    <t>Highway-Chapter 90</t>
  </si>
  <si>
    <t xml:space="preserve">          Agency Funds</t>
  </si>
  <si>
    <t xml:space="preserve">          Municipal Indebtedness Analysis</t>
  </si>
  <si>
    <t>Respectfully submitted,</t>
  </si>
  <si>
    <t>Real Estate Taxes</t>
  </si>
  <si>
    <t>Tax Liens Redeemed</t>
  </si>
  <si>
    <t>Taxes in Litigation</t>
  </si>
  <si>
    <t xml:space="preserve">     Total Transfers</t>
  </si>
  <si>
    <t>Penalties &amp; Interest on Taxes &amp; Excises</t>
  </si>
  <si>
    <t>Fees</t>
  </si>
  <si>
    <t>Fines &amp; Forfeits</t>
  </si>
  <si>
    <t>Earnings on Investments</t>
  </si>
  <si>
    <t>GENERAL FUND</t>
  </si>
  <si>
    <t>Appropriations</t>
  </si>
  <si>
    <t>Reserve Fund</t>
  </si>
  <si>
    <t>Expended</t>
  </si>
  <si>
    <t>Transfers</t>
  </si>
  <si>
    <t>GENERAL GOVERNMENT</t>
  </si>
  <si>
    <t>Moderator</t>
  </si>
  <si>
    <t>Board of Selectmen</t>
  </si>
  <si>
    <t>Finance Committee</t>
  </si>
  <si>
    <t>Board of Assessors</t>
  </si>
  <si>
    <t>Town Clerk</t>
  </si>
  <si>
    <t>Conservation Commission</t>
  </si>
  <si>
    <t>Planning Board</t>
  </si>
  <si>
    <t>Town Reports</t>
  </si>
  <si>
    <t>PUBLIC SAFETY</t>
  </si>
  <si>
    <t>Police</t>
  </si>
  <si>
    <t>Fire</t>
  </si>
  <si>
    <t>EDUCATION</t>
  </si>
  <si>
    <t>Cemetery</t>
  </si>
  <si>
    <t>HUMAN SERVICES</t>
  </si>
  <si>
    <t>Council on Aging</t>
  </si>
  <si>
    <t>Veterans Services</t>
  </si>
  <si>
    <t>CULTURE &amp; RECREATION</t>
  </si>
  <si>
    <t>Library</t>
  </si>
  <si>
    <t>Historical Commission</t>
  </si>
  <si>
    <t>DEBT SERVICE</t>
  </si>
  <si>
    <t>Retirement of Debt</t>
  </si>
  <si>
    <t>Interest on Long Term Debt</t>
  </si>
  <si>
    <t>EMPLOYEE BENEFITS</t>
  </si>
  <si>
    <t>Liability Insurance</t>
  </si>
  <si>
    <t>REVENUES</t>
  </si>
  <si>
    <t>Budget</t>
  </si>
  <si>
    <t>Actual</t>
  </si>
  <si>
    <t>Difference</t>
  </si>
  <si>
    <t>LOCAL TAXES:</t>
  </si>
  <si>
    <t>Real Estate Taxes (Net of Refunds)*</t>
  </si>
  <si>
    <t xml:space="preserve">     Total Local Taxes</t>
  </si>
  <si>
    <t>LOCAL RECEIPTS:</t>
  </si>
  <si>
    <t>Motor Vehicle Excise (Net of Refunds)</t>
  </si>
  <si>
    <t>Vessel Excise (Net of Refunds)</t>
  </si>
  <si>
    <t xml:space="preserve">     Total Local Receipts</t>
  </si>
  <si>
    <t>STATE RECEIPTS:</t>
  </si>
  <si>
    <t xml:space="preserve">     Total State Receipts</t>
  </si>
  <si>
    <t>Special Revenue Funds</t>
  </si>
  <si>
    <t xml:space="preserve">     Total Transfers From Other Fund</t>
  </si>
  <si>
    <t>OTHER AVAILABLE FUNDS:</t>
  </si>
  <si>
    <t>TOTAL ALL REVENUES</t>
  </si>
  <si>
    <t>*Includes 60 day accruals</t>
  </si>
  <si>
    <t>TOWN BUDGETS:</t>
  </si>
  <si>
    <t>General Government</t>
  </si>
  <si>
    <t>Public Safety</t>
  </si>
  <si>
    <t>Education</t>
  </si>
  <si>
    <t>Human Services</t>
  </si>
  <si>
    <t>Culture &amp; Recreation</t>
  </si>
  <si>
    <t>Debt Service</t>
  </si>
  <si>
    <t>Employee Benefits</t>
  </si>
  <si>
    <t>OTHER FINANCING USES:</t>
  </si>
  <si>
    <t xml:space="preserve">     Total Other Financing Uses</t>
  </si>
  <si>
    <t>OTHER:</t>
  </si>
  <si>
    <t>Transfer to General Fund-Indirect Costs</t>
  </si>
  <si>
    <t>CURRENT FISCAL YEAR CHANGES IN NET ASSETS</t>
  </si>
  <si>
    <t>Net Assets Restricted for Expenditures</t>
  </si>
  <si>
    <t>Net Assets Restricted for Continued Appropriations</t>
  </si>
  <si>
    <t>TOTAL ALL EXPENDITURES</t>
  </si>
  <si>
    <t>OTHER TRUST FUNDS</t>
  </si>
  <si>
    <t>MUNICIPAL INDEBTEDNESS ANALYSIS</t>
  </si>
  <si>
    <t>Date</t>
  </si>
  <si>
    <t>Loan</t>
  </si>
  <si>
    <t>Outstanding</t>
  </si>
  <si>
    <t>Borrowed</t>
  </si>
  <si>
    <t>INSIDE DEBT LIMIT</t>
  </si>
  <si>
    <t>OUTSIDE DEBT LIMIT</t>
  </si>
  <si>
    <t>Tax Foreclosures</t>
  </si>
  <si>
    <t>Cash</t>
  </si>
  <si>
    <t>Warrants Payable</t>
  </si>
  <si>
    <t>COURT JUDGMENTS</t>
  </si>
  <si>
    <t>Miscellaneous Revenues</t>
  </si>
  <si>
    <t>EXPENDITURES:</t>
  </si>
  <si>
    <t>FEDERAL GRANTS</t>
  </si>
  <si>
    <t>STATE GRANTS</t>
  </si>
  <si>
    <t>MEMA GRANTS</t>
  </si>
  <si>
    <t>OTHER</t>
  </si>
  <si>
    <t>RECEIPTS RESERVED FOR APPROPRIATION</t>
  </si>
  <si>
    <t>REVOLVING FUNDS</t>
  </si>
  <si>
    <t>OTHER SPECIAL REVENUE</t>
  </si>
  <si>
    <t>TOTAL OTHER</t>
  </si>
  <si>
    <t>TOTAL PUBLIC SAFETY</t>
  </si>
  <si>
    <t>TOTAL MEMA GRANTS</t>
  </si>
  <si>
    <t>TOTAL CULTURE &amp; RECREATION</t>
  </si>
  <si>
    <t>Other</t>
  </si>
  <si>
    <t>TOTAL OTHER TRUST FUNDS</t>
  </si>
  <si>
    <t>PAYROLL WITHHOLDINGS</t>
  </si>
  <si>
    <t>DUE TO OTHER GOVERNMENTS</t>
  </si>
  <si>
    <t>OTHER LIABILITIES</t>
  </si>
  <si>
    <t>UNCLAIMED ITEMS</t>
  </si>
  <si>
    <t>Capital Projects Funds</t>
  </si>
  <si>
    <t>COUNTY GRANTS</t>
  </si>
  <si>
    <t>Transfers to Special Revenue</t>
  </si>
  <si>
    <t>Legal Services</t>
  </si>
  <si>
    <t>Street Lights</t>
  </si>
  <si>
    <t>Landfill</t>
  </si>
  <si>
    <t>Board of Health</t>
  </si>
  <si>
    <t>Tax Title</t>
  </si>
  <si>
    <t>State Owned Land</t>
  </si>
  <si>
    <t>Line Item</t>
  </si>
  <si>
    <t xml:space="preserve">     Principal Payments</t>
  </si>
  <si>
    <t>Accounting</t>
  </si>
  <si>
    <t>Sealer of Weights/Measures</t>
  </si>
  <si>
    <t>Health Insurance</t>
  </si>
  <si>
    <t>Life Insurance</t>
  </si>
  <si>
    <t>All Funds - Combined Balance Sheet</t>
  </si>
  <si>
    <t>Special</t>
  </si>
  <si>
    <t>Capital Project</t>
  </si>
  <si>
    <t xml:space="preserve">General Long </t>
  </si>
  <si>
    <t>General Fund</t>
  </si>
  <si>
    <t>Revenue Funds</t>
  </si>
  <si>
    <t>Fund</t>
  </si>
  <si>
    <t>Term Obligations</t>
  </si>
  <si>
    <t>Totals</t>
  </si>
  <si>
    <t>Assets</t>
  </si>
  <si>
    <t>Allowance for Abatements</t>
  </si>
  <si>
    <t>Fire Detail, Receivable</t>
  </si>
  <si>
    <t>Police Detail, Receivable</t>
  </si>
  <si>
    <t>Due from Commonwealth of Massachusetts</t>
  </si>
  <si>
    <t>Accrued Revenue Receivable</t>
  </si>
  <si>
    <t>Revenue Received, Not Yet Due</t>
  </si>
  <si>
    <t>Fixed Assets</t>
  </si>
  <si>
    <t>Amounts to be Provided for Long Term Debt</t>
  </si>
  <si>
    <t xml:space="preserve">   Total Assets</t>
  </si>
  <si>
    <t>Liabilities</t>
  </si>
  <si>
    <t>Deferred Revenue</t>
  </si>
  <si>
    <t>Bonds Payable</t>
  </si>
  <si>
    <t xml:space="preserve">   Total Liabilities</t>
  </si>
  <si>
    <t>Fund Equity</t>
  </si>
  <si>
    <t xml:space="preserve">   Total Fund Equity</t>
  </si>
  <si>
    <t>Total Liabilities and Fund Equity</t>
  </si>
  <si>
    <t>Receipts</t>
  </si>
  <si>
    <t>Beginning Balance</t>
  </si>
  <si>
    <t>Adjustments</t>
  </si>
  <si>
    <t>Ending Balance</t>
  </si>
  <si>
    <t>Expenditures</t>
  </si>
  <si>
    <t>TOTAL COUNTY GRANTS</t>
  </si>
  <si>
    <t>TOTAL GENERAL GOVERNMENT</t>
  </si>
  <si>
    <t>TOTAL HUMAN SERVICES</t>
  </si>
  <si>
    <t>NON-EXPENDABLE TRUST</t>
  </si>
  <si>
    <t>STABILIZATION ACCOUNTS</t>
  </si>
  <si>
    <t>TOTAL ALL NON-EXPENDABLE TRUST FUNDS</t>
  </si>
  <si>
    <t>TOTAL STABILIZATION ACCOUNTS</t>
  </si>
  <si>
    <t>EXPENDABLE TRUST</t>
  </si>
  <si>
    <t>TOTAL ALL EXPENDABLE TRUST FUNDS</t>
  </si>
  <si>
    <t>TOTAL PAYROLL WITHHOLDINGS</t>
  </si>
  <si>
    <t>TOTAL DUE TO OTHER GOVERNMENTS</t>
  </si>
  <si>
    <t>TOTAL OTHER LIABILITIES</t>
  </si>
  <si>
    <t>TOTAL UNCLAIMED ITEMS</t>
  </si>
  <si>
    <t>Other Liabilities</t>
  </si>
  <si>
    <t>Interest on Short Term Debt &amp; Other Int.</t>
  </si>
  <si>
    <t>TOTAL ALL LIABILITIES</t>
  </si>
  <si>
    <t>Accrued Payroll</t>
  </si>
  <si>
    <t>TOTAL ACCRUED PAYROLL</t>
  </si>
  <si>
    <t>Interest Paid</t>
  </si>
  <si>
    <t>LONG TERM DEBT</t>
  </si>
  <si>
    <t>Total Long Term Debt</t>
  </si>
  <si>
    <t>SHORT TERM DEBT</t>
  </si>
  <si>
    <t>AUTHORIZED AND UNISSUED DEBT</t>
  </si>
  <si>
    <t>Authorized</t>
  </si>
  <si>
    <t xml:space="preserve">Unissued </t>
  </si>
  <si>
    <t>Total Short Term Debt</t>
  </si>
  <si>
    <t>Total Debt Authorized and Unissued</t>
  </si>
  <si>
    <t>Court Judgments</t>
  </si>
  <si>
    <t>LIABILITIES</t>
  </si>
  <si>
    <t>ASSETS</t>
  </si>
  <si>
    <t>TOTAL ALL ASSETS</t>
  </si>
  <si>
    <t>Arts Cultural Council</t>
  </si>
  <si>
    <t>Title V</t>
  </si>
  <si>
    <t>Conservation Wetlands</t>
  </si>
  <si>
    <t>General</t>
  </si>
  <si>
    <t>Exemptions: Vets, Blind, Surviving Spouses &amp; Elderly</t>
  </si>
  <si>
    <t>OTHER FINANCING SOURCES:</t>
  </si>
  <si>
    <t>Interest Rate</t>
  </si>
  <si>
    <t>FUND BALANCE BY ACCOUNT</t>
  </si>
  <si>
    <t>Fund Balance Reserved for Encumbrances</t>
  </si>
  <si>
    <t>Fund Balance Reserved for Continued Appropriations</t>
  </si>
  <si>
    <t>Unreserved Fund Balance-Appropriation Deficit</t>
  </si>
  <si>
    <t xml:space="preserve">Unreserved Fund Balance  </t>
  </si>
  <si>
    <t>Personal Property Taxes (Net of Refunds)*</t>
  </si>
  <si>
    <t>Accounts Payable</t>
  </si>
  <si>
    <t xml:space="preserve">     Total Current Fiscal Year Budget Appropriations</t>
  </si>
  <si>
    <t>Forestry</t>
  </si>
  <si>
    <t>Snow &amp; Ice Removal</t>
  </si>
  <si>
    <t xml:space="preserve">       CURRENT FISCAL YEAR  CHANGES IN FUND BALANCE</t>
  </si>
  <si>
    <t>CAPITAL PROJECTS</t>
  </si>
  <si>
    <t>TOTAL CAPITAL PROJECTS</t>
  </si>
  <si>
    <t>Reclassify</t>
  </si>
  <si>
    <t>Annual Town Reports</t>
  </si>
  <si>
    <t>Water Pump Station</t>
  </si>
  <si>
    <t>74% State Reimbursed</t>
  </si>
  <si>
    <t>Harbormaster</t>
  </si>
  <si>
    <t>Town Accountant</t>
  </si>
  <si>
    <t>Fire Hazmat</t>
  </si>
  <si>
    <t>Ruby (Winslow) Linn Cemetery</t>
  </si>
  <si>
    <t>Nichols Cemetery</t>
  </si>
  <si>
    <t>Richmond Cemetery</t>
  </si>
  <si>
    <t>Fund Balance Reserved for Expenditures</t>
  </si>
  <si>
    <t>Animal Control</t>
  </si>
  <si>
    <t>Bristol County Agricultural School</t>
  </si>
  <si>
    <t>Title V Betterments, Not Yet Due</t>
  </si>
  <si>
    <t>Police Detail Receivable</t>
  </si>
  <si>
    <t>Fire Detail Receivable</t>
  </si>
  <si>
    <t>Dental Insurance Withholdings</t>
  </si>
  <si>
    <t>County Retirement Withholdings</t>
  </si>
  <si>
    <t>Federal Withholding Tax</t>
  </si>
  <si>
    <t>Health Insurance Withholdings</t>
  </si>
  <si>
    <t>Medicare Tax Withholdings</t>
  </si>
  <si>
    <t>State Income Tax Withholdings</t>
  </si>
  <si>
    <t>United Way Withholdings</t>
  </si>
  <si>
    <t>Aflac Insurance Withholdings</t>
  </si>
  <si>
    <t xml:space="preserve">          Enterprise Funds</t>
  </si>
  <si>
    <t>ok cash - warrants payable</t>
  </si>
  <si>
    <t>ok cash - warrants payable - retainage</t>
  </si>
  <si>
    <t>Fund Balance Reserved for Court Judgment</t>
  </si>
  <si>
    <t>COUNCIL ON AGING</t>
  </si>
  <si>
    <t>TOTAL COUNCIL ON AGING</t>
  </si>
  <si>
    <t>Due from Federal Government</t>
  </si>
  <si>
    <t>Hathaway Park</t>
  </si>
  <si>
    <t>Bond Payable</t>
  </si>
  <si>
    <t>East Freetown Cemetery</t>
  </si>
  <si>
    <t>Freetown Elem.-New Bond</t>
  </si>
  <si>
    <t>Retirement Sick Buyback</t>
  </si>
  <si>
    <t>CAPITAL  BUILDING BUDGET:</t>
  </si>
  <si>
    <t>Transfer to Special Revenue</t>
  </si>
  <si>
    <t>Transfer to Agency Fund</t>
  </si>
  <si>
    <t>Fund Balance Reserved for Debt Service</t>
  </si>
  <si>
    <t>Fund Balance Reserved for Future Excluded Debt</t>
  </si>
  <si>
    <t>Rollback Taxes</t>
  </si>
  <si>
    <t>CAPITAL EQUIPMENT BUDGET:</t>
  </si>
  <si>
    <t xml:space="preserve">Capital Building </t>
  </si>
  <si>
    <t>Transfers to Agency Funds</t>
  </si>
  <si>
    <t>Arts Council</t>
  </si>
  <si>
    <t>Council on Aging Insurance Recovery</t>
  </si>
  <si>
    <t>Patriot Half Triathlon</t>
  </si>
  <si>
    <t>Ban Paydown</t>
  </si>
  <si>
    <t>Paid/Retired Principal</t>
  </si>
  <si>
    <t>Grand Total All Debt</t>
  </si>
  <si>
    <t>Audit</t>
  </si>
  <si>
    <t>Registration</t>
  </si>
  <si>
    <t>Board of Appeals-Zoning</t>
  </si>
  <si>
    <t>Soil Board</t>
  </si>
  <si>
    <t>Public Buildings</t>
  </si>
  <si>
    <t>Gas</t>
  </si>
  <si>
    <t>Plumbing</t>
  </si>
  <si>
    <t>Electrical</t>
  </si>
  <si>
    <t>Civil Defense-EMA</t>
  </si>
  <si>
    <t>Trash Collection &amp; Disposal</t>
  </si>
  <si>
    <t>Transfer Station</t>
  </si>
  <si>
    <t>J. White Library</t>
  </si>
  <si>
    <t>Retirement &amp; Pension Contributions</t>
  </si>
  <si>
    <t>Unemployment Benefits</t>
  </si>
  <si>
    <t>INTERGOVERNMENTAL ASSESSMENTS &amp; CHARGES</t>
  </si>
  <si>
    <t>State Assessments &amp; Charges</t>
  </si>
  <si>
    <t>County Assessments &amp; Charges</t>
  </si>
  <si>
    <t>Rentals</t>
  </si>
  <si>
    <t>FEMA Reimbursments Received through the State</t>
  </si>
  <si>
    <t>Program #</t>
  </si>
  <si>
    <t>0202-00</t>
  </si>
  <si>
    <t>1003-00</t>
  </si>
  <si>
    <t>1007-00</t>
  </si>
  <si>
    <t>1008-00</t>
  </si>
  <si>
    <t>1011-00</t>
  </si>
  <si>
    <t>1012-00</t>
  </si>
  <si>
    <t>2000-00</t>
  </si>
  <si>
    <t>2001-00</t>
  </si>
  <si>
    <t>2002-00</t>
  </si>
  <si>
    <t>2004-00</t>
  </si>
  <si>
    <t>2003-00</t>
  </si>
  <si>
    <t>3200-00</t>
  </si>
  <si>
    <t>3502-00</t>
  </si>
  <si>
    <t>3500-00</t>
  </si>
  <si>
    <t>3000-00</t>
  </si>
  <si>
    <t>Communications Alarms</t>
  </si>
  <si>
    <t>3201-00</t>
  </si>
  <si>
    <t>Police State Law Enforcement Trust</t>
  </si>
  <si>
    <t>3700-00</t>
  </si>
  <si>
    <t>Police Federal Forfeiture Funds</t>
  </si>
  <si>
    <t>3701-00</t>
  </si>
  <si>
    <t>Long Pond Boat Ramp</t>
  </si>
  <si>
    <t>3202-00</t>
  </si>
  <si>
    <t>3702-00</t>
  </si>
  <si>
    <t>3004-00</t>
  </si>
  <si>
    <t>3003-00</t>
  </si>
  <si>
    <t>Fund # 241</t>
  </si>
  <si>
    <t>4008-00</t>
  </si>
  <si>
    <t>4012-00</t>
  </si>
  <si>
    <t>4013-00</t>
  </si>
  <si>
    <t>TRWA-Open Space &amp; Rec. Plan</t>
  </si>
  <si>
    <t>4009-00</t>
  </si>
  <si>
    <t>4000-00</t>
  </si>
  <si>
    <t>Police Drug Education Program</t>
  </si>
  <si>
    <t>4011-00</t>
  </si>
  <si>
    <t>Tree Warden</t>
  </si>
  <si>
    <t>4006-00</t>
  </si>
  <si>
    <t>4004-00</t>
  </si>
  <si>
    <t>4005-00</t>
  </si>
  <si>
    <t>4001-00</t>
  </si>
  <si>
    <t>4003-00</t>
  </si>
  <si>
    <t>4007-00</t>
  </si>
  <si>
    <t>4002-00</t>
  </si>
  <si>
    <t>4010-00</t>
  </si>
  <si>
    <t>Fund # 300</t>
  </si>
  <si>
    <t>TOTAL ALL OTHER TRUST FUNDS</t>
  </si>
  <si>
    <t>6400-00</t>
  </si>
  <si>
    <t>6200-00</t>
  </si>
  <si>
    <t>6201-00</t>
  </si>
  <si>
    <t>6202-00</t>
  </si>
  <si>
    <t>6203-00</t>
  </si>
  <si>
    <t>6204-00</t>
  </si>
  <si>
    <t>6205-00</t>
  </si>
  <si>
    <t>Friends Tripp Cemetery</t>
  </si>
  <si>
    <t>6206-00</t>
  </si>
  <si>
    <t>6207-00</t>
  </si>
  <si>
    <t>6208-00</t>
  </si>
  <si>
    <t>6209-00</t>
  </si>
  <si>
    <t>6210-00</t>
  </si>
  <si>
    <t>CEMETERY:</t>
  </si>
  <si>
    <t>LIBRARY:</t>
  </si>
  <si>
    <t>6001-00</t>
  </si>
  <si>
    <t>6002-00</t>
  </si>
  <si>
    <t>6003-00</t>
  </si>
  <si>
    <t>6004-00</t>
  </si>
  <si>
    <t>6005-00</t>
  </si>
  <si>
    <t>6006-00</t>
  </si>
  <si>
    <t>6007-00</t>
  </si>
  <si>
    <t>6008-00</t>
  </si>
  <si>
    <t>6009-00</t>
  </si>
  <si>
    <t>6010-00</t>
  </si>
  <si>
    <t>6013-00</t>
  </si>
  <si>
    <t>6016-00</t>
  </si>
  <si>
    <t>6900-00</t>
  </si>
  <si>
    <t>6700-00</t>
  </si>
  <si>
    <t>6701-00</t>
  </si>
  <si>
    <t>6702-00</t>
  </si>
  <si>
    <t>6703-00</t>
  </si>
  <si>
    <t>6704-00</t>
  </si>
  <si>
    <t>6705-00</t>
  </si>
  <si>
    <t>6706-00</t>
  </si>
  <si>
    <t>6707-00</t>
  </si>
  <si>
    <t>6708-00</t>
  </si>
  <si>
    <t>6709-00</t>
  </si>
  <si>
    <t>6710-00</t>
  </si>
  <si>
    <t>6500-00</t>
  </si>
  <si>
    <t>6501-00</t>
  </si>
  <si>
    <t>6502-00</t>
  </si>
  <si>
    <t>6503-00</t>
  </si>
  <si>
    <t>6504-00</t>
  </si>
  <si>
    <t>6505-00</t>
  </si>
  <si>
    <t>6506-00</t>
  </si>
  <si>
    <t>6508-00</t>
  </si>
  <si>
    <t>6507-00</t>
  </si>
  <si>
    <t>6510-00</t>
  </si>
  <si>
    <t>6509-00</t>
  </si>
  <si>
    <t>6511-00</t>
  </si>
  <si>
    <t>6512-00</t>
  </si>
  <si>
    <t>6513-00</t>
  </si>
  <si>
    <t>6514-00</t>
  </si>
  <si>
    <t>6515-00</t>
  </si>
  <si>
    <t>6516-00</t>
  </si>
  <si>
    <t>OPEB Reserve</t>
  </si>
  <si>
    <t>6901-00</t>
  </si>
  <si>
    <t>6902-00</t>
  </si>
  <si>
    <t>6904-00</t>
  </si>
  <si>
    <t>6905-00</t>
  </si>
  <si>
    <t>6906-00</t>
  </si>
  <si>
    <t>6907-00</t>
  </si>
  <si>
    <t>6908-00</t>
  </si>
  <si>
    <t>6909-00</t>
  </si>
  <si>
    <t>6910-00</t>
  </si>
  <si>
    <t>6903-00</t>
  </si>
  <si>
    <t>7000-00</t>
  </si>
  <si>
    <t>7001-00</t>
  </si>
  <si>
    <t>7002-00</t>
  </si>
  <si>
    <t>7003-00</t>
  </si>
  <si>
    <t>Group Life Insurance Withholdings</t>
  </si>
  <si>
    <t>7005-00</t>
  </si>
  <si>
    <t>7008-00</t>
  </si>
  <si>
    <t>7010-00</t>
  </si>
  <si>
    <t>7011-00</t>
  </si>
  <si>
    <t>7012-00</t>
  </si>
  <si>
    <t>Town Hall/Hwy. Union Dues Withholdings</t>
  </si>
  <si>
    <t>7013-00</t>
  </si>
  <si>
    <t>Police Union Dues Withholdings</t>
  </si>
  <si>
    <t>7014-00</t>
  </si>
  <si>
    <t>Comm. Union Dues Withholdings</t>
  </si>
  <si>
    <t>7015-00</t>
  </si>
  <si>
    <t>Fire Union Dues Withholdings</t>
  </si>
  <si>
    <t>7016-00</t>
  </si>
  <si>
    <t>Deferred Compensation Withholdings</t>
  </si>
  <si>
    <t>7017-00</t>
  </si>
  <si>
    <t>Credit Union Withholdings</t>
  </si>
  <si>
    <t>7019-00</t>
  </si>
  <si>
    <t>OBRA Withholdings</t>
  </si>
  <si>
    <t>7018-00</t>
  </si>
  <si>
    <t>Garnishment Withholdings</t>
  </si>
  <si>
    <t>7020-00</t>
  </si>
  <si>
    <t>7702-00</t>
  </si>
  <si>
    <t>7704-00</t>
  </si>
  <si>
    <t>7701-00</t>
  </si>
  <si>
    <t>7700-00</t>
  </si>
  <si>
    <t>7203-00</t>
  </si>
  <si>
    <t>7706-00</t>
  </si>
  <si>
    <t>7705-00</t>
  </si>
  <si>
    <t>Def. Revenue-Departmental</t>
  </si>
  <si>
    <t>TOTAL ALL AGENCY FUNDS</t>
  </si>
  <si>
    <t>TOTAL ALL TRUST FUNDS</t>
  </si>
  <si>
    <t>Net Assets, Unrestricted-Water Assessments</t>
  </si>
  <si>
    <t>Charges for Services-Ambulance</t>
  </si>
  <si>
    <t>Fees/Other Dept. Revenue-Trash Disposal</t>
  </si>
  <si>
    <t>Unreserved Fund Balance-Overlay Deficits</t>
  </si>
  <si>
    <t>User Charges</t>
  </si>
  <si>
    <t>User Liens-Added to Taxes</t>
  </si>
  <si>
    <t>User Liens-In Tax Title</t>
  </si>
  <si>
    <t>Assessment Liens In Tax Title</t>
  </si>
  <si>
    <t>Suspended Assessments</t>
  </si>
  <si>
    <t>Reserved 3200-3300</t>
  </si>
  <si>
    <t>Unreserved Fund Balance-Designated 3400-3589</t>
  </si>
  <si>
    <t>Unreserved Fund Balance-Undesignated 3590-3599</t>
  </si>
  <si>
    <t>Unreserved Fund Balance-Undeisgnated</t>
  </si>
  <si>
    <t>Flooding, Bridges,Spring 2010</t>
  </si>
  <si>
    <t>Kimberley S. Fales</t>
  </si>
  <si>
    <t>Due from(to) Other Fund(s)</t>
  </si>
  <si>
    <t>Prepaid Expenditures</t>
  </si>
  <si>
    <t>Unreserved Fund Balance-Allowable Deficits</t>
  </si>
  <si>
    <t>Reserved Fund Balance-Encumbrances</t>
  </si>
  <si>
    <t>Reserved Fund Balance-Expenditures</t>
  </si>
  <si>
    <t>Reserved Fund Balance-Prepaid Expenditures</t>
  </si>
  <si>
    <t>Reserved Fund Balance-Continuing Approp</t>
  </si>
  <si>
    <t>Capitalized Leases Payable</t>
  </si>
  <si>
    <t>Miscellaneous Withholdings</t>
  </si>
  <si>
    <t>7021-00</t>
  </si>
  <si>
    <t>Due From/(To) Other Funds</t>
  </si>
  <si>
    <t>Animal Control Officer</t>
  </si>
  <si>
    <t>4015-00</t>
  </si>
  <si>
    <t>INSURANCE RECOVERY</t>
  </si>
  <si>
    <t>Highway Insurance Recovery</t>
  </si>
  <si>
    <t>PEG Access &amp; Cable</t>
  </si>
  <si>
    <t>2005-00</t>
  </si>
  <si>
    <t>TOTAL RECEIPTS RESERVED</t>
  </si>
  <si>
    <t>Fire SHSH Federal Grant</t>
  </si>
  <si>
    <t>Reverse PY Reserve for Overlay Deficit</t>
  </si>
  <si>
    <t>Reverse PY Reserve for Continued Appropriations</t>
  </si>
  <si>
    <t>Current Year Revenues</t>
  </si>
  <si>
    <t>Current Year Other Financing Sources</t>
  </si>
  <si>
    <t xml:space="preserve">  Subtotal</t>
  </si>
  <si>
    <t>Reserve Fund Balance for Encumbrances</t>
  </si>
  <si>
    <t>Reserve Fund Balance for Special Purposes (Prepaid)</t>
  </si>
  <si>
    <t>Fund Balance Reserved for Special Purpose (Prepaid)</t>
  </si>
  <si>
    <t>Reserve Fund Balance for Expenditures</t>
  </si>
  <si>
    <t>Reserve Fund Balance for Continued Appropriations</t>
  </si>
  <si>
    <t>Current Year Appropriation Deficits (Snow &amp; Ice)</t>
  </si>
  <si>
    <t>Current Year Overlay Deficits</t>
  </si>
  <si>
    <t>Current Year Overlay Surplus Released</t>
  </si>
  <si>
    <t>Current Year Overlay Surplus Closed</t>
  </si>
  <si>
    <t>Current Year Expenditures</t>
  </si>
  <si>
    <t>CHANGES IN FUND BALANCE FOR GENERAL FUND</t>
  </si>
  <si>
    <t>Current Year Other Financing Uses</t>
  </si>
  <si>
    <t>Personnel</t>
  </si>
  <si>
    <t>Expenses</t>
  </si>
  <si>
    <t>Special Articles</t>
  </si>
  <si>
    <t>Town-wide Fueling</t>
  </si>
  <si>
    <t>Transfers to Enterprise Funds</t>
  </si>
  <si>
    <t>Favorable</t>
  </si>
  <si>
    <t>(Unfavorable)</t>
  </si>
  <si>
    <t>Alcohol Licenses</t>
  </si>
  <si>
    <t>Other Licenses</t>
  </si>
  <si>
    <t>Permits</t>
  </si>
  <si>
    <t>Miscellaneous Revenue - Non Recurring</t>
  </si>
  <si>
    <t>Miscellaneous Revenue - Recurring</t>
  </si>
  <si>
    <t>FEDERAL RECEIPTS:</t>
  </si>
  <si>
    <t>Unrestricted General Government Aid Chapter 29</t>
  </si>
  <si>
    <t>Encumbrance/</t>
  </si>
  <si>
    <t>Carryforward</t>
  </si>
  <si>
    <t>BOA Revaluation</t>
  </si>
  <si>
    <t>Property Insurance</t>
  </si>
  <si>
    <t>Public Property - Hazmat Site</t>
  </si>
  <si>
    <t>Regional School Assessment &amp; Debt Service</t>
  </si>
  <si>
    <t>Old Colony Voc Assesment &amp; Transportation</t>
  </si>
  <si>
    <t>Arts Local Cultural Council</t>
  </si>
  <si>
    <t>Parade &amp; Fireworks</t>
  </si>
  <si>
    <t>Cable Advisory Committee</t>
  </si>
  <si>
    <t>Other Amount</t>
  </si>
  <si>
    <t>To Raise</t>
  </si>
  <si>
    <t>Workers Compensation Insurance</t>
  </si>
  <si>
    <t>Town Building Improvements</t>
  </si>
  <si>
    <t>Current Fiscal Year Transfers</t>
  </si>
  <si>
    <t>Transfer to Enterprise Funds</t>
  </si>
  <si>
    <t>Unexpended</t>
  </si>
  <si>
    <t>Appropriation</t>
  </si>
  <si>
    <t>Combined Balance Sheet - Special Revenue Funds</t>
  </si>
  <si>
    <t>Federal Grants</t>
  </si>
  <si>
    <t>State Grants</t>
  </si>
  <si>
    <t>Receipts Reserved</t>
  </si>
  <si>
    <t>for Appropriation</t>
  </si>
  <si>
    <t>Revolving Funds</t>
  </si>
  <si>
    <t>Other Special</t>
  </si>
  <si>
    <t>Betterments</t>
  </si>
  <si>
    <t>Septic Title V</t>
  </si>
  <si>
    <t>Combined Balance Sheet - Trust &amp; Agency Funds</t>
  </si>
  <si>
    <t>Non-Expendable</t>
  </si>
  <si>
    <t>Expendable</t>
  </si>
  <si>
    <t>Other Trust Funds</t>
  </si>
  <si>
    <t>Agency Fund</t>
  </si>
  <si>
    <t>Payroll Withholding</t>
  </si>
  <si>
    <t>Current Fiscal Year Transfers:</t>
  </si>
  <si>
    <t>Revenues</t>
  </si>
  <si>
    <t>Local Taxes</t>
  </si>
  <si>
    <t>Local Receipts</t>
  </si>
  <si>
    <t>Federal Receipts</t>
  </si>
  <si>
    <t>State Receipts</t>
  </si>
  <si>
    <t>Other Financing Sources:</t>
  </si>
  <si>
    <t xml:space="preserve">  Enterprise Funds</t>
  </si>
  <si>
    <t xml:space="preserve">  Special Revenue Funds</t>
  </si>
  <si>
    <t xml:space="preserve">  Agency Funds</t>
  </si>
  <si>
    <t xml:space="preserve">  SUBTOTAL</t>
  </si>
  <si>
    <t xml:space="preserve">Capital Equipment </t>
  </si>
  <si>
    <t>Capital Equipment</t>
  </si>
  <si>
    <t>Capital Building Improvements</t>
  </si>
  <si>
    <t>Other Financing Uses:</t>
  </si>
  <si>
    <t>CHANGE IN NET ASSETS</t>
  </si>
  <si>
    <t>Capital Projects</t>
  </si>
  <si>
    <t>Enterprise</t>
  </si>
  <si>
    <t>Net Assets, Beginning</t>
  </si>
  <si>
    <t>Net Assets, Ending</t>
  </si>
  <si>
    <t xml:space="preserve">  General Fund</t>
  </si>
  <si>
    <t>Transfers for Payroll Withholdings</t>
  </si>
  <si>
    <t xml:space="preserve">               Revenues - Budget vs Actual</t>
  </si>
  <si>
    <t xml:space="preserve">               Expenditures - Budget vs Actual</t>
  </si>
  <si>
    <t xml:space="preserve">               Changes in Fund Balance</t>
  </si>
  <si>
    <t>Trust &amp; Agency Funds</t>
  </si>
  <si>
    <t xml:space="preserve">          Combined Balance Sheet          </t>
  </si>
  <si>
    <t xml:space="preserve">          Combined Balance Sheet       </t>
  </si>
  <si>
    <t xml:space="preserve">          Combined Balance Sheet      </t>
  </si>
  <si>
    <t>Other Special Revenue</t>
  </si>
  <si>
    <t xml:space="preserve">               Statement of Revenues, Expenditures and Changes in Net Assets</t>
  </si>
  <si>
    <t>Payroll Withholdings</t>
  </si>
  <si>
    <t xml:space="preserve">          Combined Statement of Revenues, Expenditures, and Changes in Net Assets         </t>
  </si>
  <si>
    <t>All Funds - Combined Statement of Revenues, Expenditures and Changes in Net Assets</t>
  </si>
  <si>
    <t>REVENUES - BUDGET VS. ACTUAL</t>
  </si>
  <si>
    <t>CHANGES IN FUND BALANCES - 200 FEDERAL GRANTS</t>
  </si>
  <si>
    <t>CHANGES IN FUND BALANCES - 210 STATE GRANTS</t>
  </si>
  <si>
    <t>CHANGES IN FUND BALANCES - 220 RECEIPTS RESERVED FOR APPROPRIATION</t>
  </si>
  <si>
    <t>CHANGES IN FUND BALANCES - 230 REVOLVING FUNDS</t>
  </si>
  <si>
    <t>STATEMENT OF REVENUES, EXPENDITURES AND CHANGES IN NET ASSETS</t>
  </si>
  <si>
    <t>CHANGES IN FUND BALANCES - 810 NON-EXPENDABLE TRUST FUNDS</t>
  </si>
  <si>
    <t>CHANGES IN FUND BALANCES - 820 EXPENDABLE TRUST FUNDS</t>
  </si>
  <si>
    <t>CHANGES IN FUND BALANCES - 830 OTHER TRUST FUNDS</t>
  </si>
  <si>
    <t>STATEMENT OF ASSETS AND LIABILITIES - 900 AGENCY FUNDS</t>
  </si>
  <si>
    <t>STATEMENT OF ASSETS AND LIABILITIES - 901 AGENCY FUND - PAYROLL WITHHOLDINGS</t>
  </si>
  <si>
    <t xml:space="preserve">               Statement of Assets and Liabilities</t>
  </si>
  <si>
    <t>Current Year Appropriation Deficits (Tax Title Costs)</t>
  </si>
  <si>
    <t xml:space="preserve">   Total Revenues and Other Financing Sources</t>
  </si>
  <si>
    <t xml:space="preserve">  Total Expenditures and Other Financing Uses</t>
  </si>
  <si>
    <t>Water Usage and Liens Collected</t>
  </si>
  <si>
    <t>Interest and Penalties</t>
  </si>
  <si>
    <t>Other Non-Usage Charges</t>
  </si>
  <si>
    <t>CHANGES IN FUND BALANCES - 240 OTHER SPECIAL REVENUE &amp; 241 SEPTIC BETTERMENTS</t>
  </si>
  <si>
    <t>Reverse PY Reserve for Encumbrances</t>
  </si>
  <si>
    <t>Reverse PY Reserve for Expenditures</t>
  </si>
  <si>
    <t>Reverse PY Reserve for Special Purposes (Prepaid)</t>
  </si>
  <si>
    <t>Reverse PY Reserve for Appropriation Defict (Snow &amp; Ice)</t>
  </si>
  <si>
    <t>Reverse PY Reserve for Appropriation Defict (Tax Title Costs)</t>
  </si>
  <si>
    <t>ATM-Oper/Capital</t>
  </si>
  <si>
    <t>ATM-Spec Articles</t>
  </si>
  <si>
    <t>Add'l Approp.</t>
  </si>
  <si>
    <t>Highway - Construction</t>
  </si>
  <si>
    <t>GENERAL FUND EXPENDITURES - BUDGET VS. ACTUAL</t>
  </si>
  <si>
    <t>Encumbrances</t>
  </si>
  <si>
    <t>Overtime</t>
  </si>
  <si>
    <t>Inter-governmental Assessments</t>
  </si>
  <si>
    <t>Capital</t>
  </si>
  <si>
    <t>6911-00</t>
  </si>
  <si>
    <t>Due to County - Property Recordings</t>
  </si>
  <si>
    <t>PERFORMANCE/BID DEPOSITS</t>
  </si>
  <si>
    <t>Issued</t>
  </si>
  <si>
    <t>Rescinded</t>
  </si>
  <si>
    <t>BOH MassDEP Mat'ls Recovery</t>
  </si>
  <si>
    <t>Excise Paid After Abatement</t>
  </si>
  <si>
    <t>Town Hall Events</t>
  </si>
  <si>
    <t>4016-00</t>
  </si>
  <si>
    <t>Bridge Rehab</t>
  </si>
  <si>
    <t>Fund # 301</t>
  </si>
  <si>
    <t>Water Cap Proj - Filter Site Improv</t>
  </si>
  <si>
    <t>Fund # 615</t>
  </si>
  <si>
    <t>CHANGES IN FUND BALANCES -  300 HIGHWAY CH 90 &amp; OTHER CAPITAL PROJECTS</t>
  </si>
  <si>
    <t xml:space="preserve">  Trust Funds</t>
  </si>
  <si>
    <t>Intergovernmental Assessments</t>
  </si>
  <si>
    <t xml:space="preserve">Cash, Other Equivalent </t>
  </si>
  <si>
    <t>Combined Balance Sheet - Capital Project Funds</t>
  </si>
  <si>
    <t>Chapter 90</t>
  </si>
  <si>
    <t>Bonds &amp; BAN Payable</t>
  </si>
  <si>
    <t>Fixed Assets-Property, Plant &amp; Equipment, net</t>
  </si>
  <si>
    <t>REPORT OF THE ACCOUNTING DEPARTMENT</t>
  </si>
  <si>
    <t>The Honorable Board of Selectmen and Citizens of Freetown:</t>
  </si>
  <si>
    <t>Pamela Sousa</t>
  </si>
  <si>
    <t>Water Filtration</t>
  </si>
  <si>
    <t>Site Improvements</t>
  </si>
  <si>
    <t>Police K-9 Stanton Grant</t>
  </si>
  <si>
    <t>4017-00</t>
  </si>
  <si>
    <t>Police/Comm 911 Training FY17</t>
  </si>
  <si>
    <t>1001-17</t>
  </si>
  <si>
    <t>1019-17</t>
  </si>
  <si>
    <t>Transfer to Capital Project Fund</t>
  </si>
  <si>
    <t xml:space="preserve">Other </t>
  </si>
  <si>
    <t>Transfers to Capital Projects</t>
  </si>
  <si>
    <t xml:space="preserve">  Capital Projects</t>
  </si>
  <si>
    <t>M. Fletcher Marvin</t>
  </si>
  <si>
    <t>WATER-SEWER ENTERPRISE</t>
  </si>
  <si>
    <t>Water-Sewer- Personnel</t>
  </si>
  <si>
    <t>Water-Sewer - Expenses, with Supplemental Appropriation</t>
  </si>
  <si>
    <t>Water-Sewer - Use Charges for Purchased Sewer Service</t>
  </si>
  <si>
    <t xml:space="preserve">     Total Receipts - Operations</t>
  </si>
  <si>
    <t xml:space="preserve">     Total Receipts - Assessments</t>
  </si>
  <si>
    <t xml:space="preserve">     Total Receipts - Other Available Funds</t>
  </si>
  <si>
    <t>Net Assets Restricted for Encumbrances</t>
  </si>
  <si>
    <t>4027-00</t>
  </si>
  <si>
    <t>Police/Fire Special Injury Indemdnity</t>
  </si>
  <si>
    <t>3600-00</t>
  </si>
  <si>
    <t>TOTAL DEPT REVOLVING</t>
  </si>
  <si>
    <t>TOTAL INSURANCE RECOVERY</t>
  </si>
  <si>
    <t>Transportation Network Co Fund</t>
  </si>
  <si>
    <t>2007-00</t>
  </si>
  <si>
    <t>Police 911 Support &amp; Incentive FY18</t>
  </si>
  <si>
    <t>1002-18</t>
  </si>
  <si>
    <t>Library Grant FY18</t>
  </si>
  <si>
    <t>1006-18</t>
  </si>
  <si>
    <t>Planning-MVP EOEEA Grant FY18</t>
  </si>
  <si>
    <t>1022-18</t>
  </si>
  <si>
    <t>Planning-Open Spc Rec Mstr Plan</t>
  </si>
  <si>
    <t>1023-18</t>
  </si>
  <si>
    <t>Water-Sewer</t>
  </si>
  <si>
    <t>Enterprise Fund</t>
  </si>
  <si>
    <t>Net Assets, Restricted for Encumbrances</t>
  </si>
  <si>
    <t xml:space="preserve">FEMA Reimbursements </t>
  </si>
  <si>
    <t>STM - Sprg-June</t>
  </si>
  <si>
    <t xml:space="preserve">Medicare </t>
  </si>
  <si>
    <t>Transfer to Trust Fund - OPEB</t>
  </si>
  <si>
    <t>Transfer toTrust Fund - Capital Stabilization</t>
  </si>
  <si>
    <t>Transfers to Trust Funds - OPEB</t>
  </si>
  <si>
    <t>Transfers to Trust Funds -  Stabilization Accounts</t>
  </si>
  <si>
    <t>Police K-9 Donations</t>
  </si>
  <si>
    <t>Assistant Town Accountant</t>
  </si>
  <si>
    <t>BAN New Police Station</t>
  </si>
  <si>
    <t>Police Station</t>
  </si>
  <si>
    <t>Fund # 302</t>
  </si>
  <si>
    <t>Long Term Investments</t>
  </si>
  <si>
    <t>Station</t>
  </si>
  <si>
    <t>Fire/EMS Insurance Recovery</t>
  </si>
  <si>
    <t>3001-00</t>
  </si>
  <si>
    <t>Unreserved Fund Balance, June 30, 2019</t>
  </si>
  <si>
    <t>Police 911 Support &amp; Incentive FY19</t>
  </si>
  <si>
    <t>1002-19</t>
  </si>
  <si>
    <t>Fire Safe Grant FY19</t>
  </si>
  <si>
    <t>1004-19</t>
  </si>
  <si>
    <t>Library Grant FY19</t>
  </si>
  <si>
    <t>1006-19</t>
  </si>
  <si>
    <t>Police/Comm 911 Training FY19</t>
  </si>
  <si>
    <t>1001-19</t>
  </si>
  <si>
    <t>0203-19</t>
  </si>
  <si>
    <t>Fire FY19 AFG Federal Grant</t>
  </si>
  <si>
    <t>0205-19</t>
  </si>
  <si>
    <t>0207-19</t>
  </si>
  <si>
    <t>Police FY19 Traffic Enf Equip Grant</t>
  </si>
  <si>
    <t>Police FY19 Traffic Enf Grant</t>
  </si>
  <si>
    <t>Fire SAFER Grant</t>
  </si>
  <si>
    <t>0209-00</t>
  </si>
  <si>
    <t xml:space="preserve">EMA NC Swift Water Deployment </t>
  </si>
  <si>
    <t>0208-19</t>
  </si>
  <si>
    <t>Net Assets, June 30, 2019</t>
  </si>
  <si>
    <t>Water Lien Costs &amp; NSF Fees</t>
  </si>
  <si>
    <t>Penalties &amp; Interest on Betterments in Tax Title</t>
  </si>
  <si>
    <t>Capital Equipment Leases &amp; Purchases</t>
  </si>
  <si>
    <t>Transfer toTrust Fund - Stabilization</t>
  </si>
  <si>
    <t>STM - Fall-Oct</t>
  </si>
  <si>
    <t>Veterans Benefits, Chapter 115*</t>
  </si>
  <si>
    <t>Agency</t>
  </si>
  <si>
    <t>Unreserved Fund Balance, June 30, 2020</t>
  </si>
  <si>
    <t>Fund Balance, June 30, 2020</t>
  </si>
  <si>
    <t>FISCAL YEAR 2020</t>
  </si>
  <si>
    <t>Actual Revenues Closed for FY2020</t>
  </si>
  <si>
    <t>Actual Expenditures Closed for FY2020</t>
  </si>
  <si>
    <t>Net Assets, June 30, 2020</t>
  </si>
  <si>
    <t>Transfer In from Water Assessment Fund</t>
  </si>
  <si>
    <t xml:space="preserve">     Total Expenditures - Operations</t>
  </si>
  <si>
    <t>WATER ASSESSMENTS - Transfer Out to Operations</t>
  </si>
  <si>
    <t xml:space="preserve">        Grand Total All Expenditures &amp; Transfers</t>
  </si>
  <si>
    <t xml:space="preserve">        Grand Total All Revenues &amp; Transfers</t>
  </si>
  <si>
    <t>Retained Earnings Voted to Pay Prior Year Bills at Spring Town Meeting</t>
  </si>
  <si>
    <t>Retained Earnings Voted to Supplement Sewer Charges at Spring Town Meeting</t>
  </si>
  <si>
    <t>Year Ending June 30, 2020</t>
  </si>
  <si>
    <t xml:space="preserve">     I hereby submit my report for the Fiscal Year 2020 in the following schedules:</t>
  </si>
  <si>
    <t>Bandstand</t>
  </si>
  <si>
    <t>4018-00</t>
  </si>
  <si>
    <t>Town Admin - IT Doc Mgmt System</t>
  </si>
  <si>
    <t>1026-20</t>
  </si>
  <si>
    <t>Police/Comm 911 Training FY20</t>
  </si>
  <si>
    <t>1001-20</t>
  </si>
  <si>
    <t>Police 911 Support &amp; Incentive FY20</t>
  </si>
  <si>
    <t>1002-20</t>
  </si>
  <si>
    <t>1004-20</t>
  </si>
  <si>
    <t>Fire Safe Grant FY20</t>
  </si>
  <si>
    <t>Fire Turnout Gear FY20</t>
  </si>
  <si>
    <t>1024-20</t>
  </si>
  <si>
    <t>BOH MAHB COVID-19 Grant</t>
  </si>
  <si>
    <t>1025-20</t>
  </si>
  <si>
    <t>1005-20</t>
  </si>
  <si>
    <t>COA Earmark MOTT Grant</t>
  </si>
  <si>
    <t>1027-20</t>
  </si>
  <si>
    <t>COA Earmark EOEA Grant</t>
  </si>
  <si>
    <t>COA-Elderly Affairs Formula Grant</t>
  </si>
  <si>
    <t>Library Grant FY20</t>
  </si>
  <si>
    <t>1006-20</t>
  </si>
  <si>
    <t>Fire FY20 AFG Federal Grant</t>
  </si>
  <si>
    <t>0205-20</t>
  </si>
  <si>
    <t>EMA FY20 EMPG Federal Grant</t>
  </si>
  <si>
    <t>0201-20</t>
  </si>
  <si>
    <t>EMS HHS Stimulus Grant</t>
  </si>
  <si>
    <t>0212-20</t>
  </si>
  <si>
    <t>EMA FEMA DR-4496 COVID-19</t>
  </si>
  <si>
    <t>0211-00</t>
  </si>
  <si>
    <t>EMA Fed Coronavirus "CARES"</t>
  </si>
  <si>
    <t>0213-20</t>
  </si>
  <si>
    <t>FY 2020</t>
  </si>
  <si>
    <t>FY2020</t>
  </si>
  <si>
    <t>Proceeds from Sale of Property - Foreclosures</t>
  </si>
  <si>
    <t>STATEMENT OF APPROPRIATIONS FOR FISCAL YEAR 2019-2020</t>
  </si>
  <si>
    <t>Total FY2020 Appropriations</t>
  </si>
  <si>
    <t>Economic Development</t>
  </si>
  <si>
    <t>STM - Wtr-Feb</t>
  </si>
  <si>
    <t>Bond Issuance Cost</t>
  </si>
  <si>
    <t>Police Surety</t>
  </si>
  <si>
    <t>7204-00</t>
  </si>
  <si>
    <t>1028-20</t>
  </si>
  <si>
    <t xml:space="preserve">     Free cash as of July 1, 2020 as certified by the Bureau of Accounts was $ 2,591,779.00</t>
  </si>
  <si>
    <t>Retained Earnings Certified as of 7/1/2020 by the Bureau of Accounts was $ 434,503.00.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</si>
</sst>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_)"/>
    <numFmt numFmtId="165" formatCode="&quot;$&quot;#,##0.00"/>
    <numFmt numFmtId="166" formatCode="0.0000%"/>
    <numFmt numFmtId="167" formatCode="0_);\(0\)"/>
    <numFmt numFmtId="168" formatCode="0000"/>
  </numFmts>
  <fonts count="28">
    <font>
      <sz val="12"/>
      <name val="Arial MT"/>
    </font>
    <font>
      <sz val="10"/>
      <name val="Arial"/>
      <family val="2"/>
    </font>
    <font>
      <sz val="12"/>
      <color indexed="8"/>
      <name val="Arial MT"/>
    </font>
    <font>
      <u/>
      <sz val="12"/>
      <color indexed="8"/>
      <name val="Arial MT"/>
    </font>
    <font>
      <i/>
      <u/>
      <sz val="12"/>
      <color indexed="8"/>
      <name val="Arial MT"/>
    </font>
    <font>
      <u/>
      <sz val="12"/>
      <name val="Arial MT"/>
    </font>
    <font>
      <sz val="12"/>
      <name val="Arial MT"/>
    </font>
    <font>
      <sz val="12"/>
      <name val="Arial"/>
      <family val="2"/>
    </font>
    <font>
      <u/>
      <sz val="12"/>
      <name val="Arial"/>
      <family val="2"/>
    </font>
    <font>
      <u val="singleAccounting"/>
      <sz val="12"/>
      <color indexed="8"/>
      <name val="Arial MT"/>
    </font>
    <font>
      <u val="singleAccounting"/>
      <sz val="12"/>
      <name val="Arial MT"/>
    </font>
    <font>
      <u/>
      <sz val="16"/>
      <name val="Arial MT"/>
    </font>
    <font>
      <sz val="12"/>
      <name val="Arial MT"/>
    </font>
    <font>
      <i/>
      <sz val="12"/>
      <name val="Arial MT"/>
    </font>
    <font>
      <i/>
      <sz val="14"/>
      <name val="Arial"/>
      <family val="2"/>
    </font>
    <font>
      <sz val="10"/>
      <name val="Arial"/>
      <family val="2"/>
    </font>
    <font>
      <i/>
      <u/>
      <sz val="12"/>
      <name val="Arial MT"/>
    </font>
    <font>
      <sz val="12"/>
      <name val="Arial MT"/>
    </font>
    <font>
      <sz val="12"/>
      <color indexed="10"/>
      <name val="Arial MT"/>
    </font>
    <font>
      <sz val="14"/>
      <name val="Arial MT"/>
    </font>
    <font>
      <b/>
      <sz val="14"/>
      <color indexed="8"/>
      <name val="Arial MT"/>
    </font>
    <font>
      <sz val="12"/>
      <color indexed="51"/>
      <name val="Arial MT"/>
    </font>
    <font>
      <sz val="12"/>
      <name val="Arial MT"/>
    </font>
    <font>
      <sz val="12"/>
      <color rgb="FFFF0000"/>
      <name val="Arial MT"/>
    </font>
    <font>
      <b/>
      <i/>
      <sz val="22"/>
      <color indexed="8"/>
      <name val="Edwardian Script ITC"/>
      <family val="4"/>
    </font>
    <font>
      <b/>
      <i/>
      <sz val="24"/>
      <color indexed="8"/>
      <name val="Edwardian Script ITC"/>
      <family val="4"/>
    </font>
    <font>
      <b/>
      <sz val="12"/>
      <color indexed="8"/>
      <name val="Arial MT"/>
    </font>
    <font>
      <b/>
      <sz val="12"/>
      <name val="Arial MT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7" fontId="0" fillId="0" borderId="0"/>
    <xf numFmtId="0" fontId="1" fillId="0" borderId="0"/>
    <xf numFmtId="7" fontId="6" fillId="0" borderId="0"/>
  </cellStyleXfs>
  <cellXfs count="265">
    <xf numFmtId="7" fontId="0" fillId="0" borderId="0" xfId="0"/>
    <xf numFmtId="7" fontId="2" fillId="0" borderId="0" xfId="0" applyNumberFormat="1" applyFont="1" applyProtection="1"/>
    <xf numFmtId="7" fontId="3" fillId="0" borderId="0" xfId="0" applyNumberFormat="1" applyFont="1" applyProtection="1"/>
    <xf numFmtId="7" fontId="2" fillId="0" borderId="0" xfId="0" applyFont="1"/>
    <xf numFmtId="7" fontId="2" fillId="0" borderId="0" xfId="0" applyNumberFormat="1" applyFont="1" applyAlignment="1" applyProtection="1">
      <alignment horizontal="center"/>
    </xf>
    <xf numFmtId="14" fontId="2" fillId="0" borderId="0" xfId="0" applyNumberFormat="1" applyFont="1" applyAlignment="1" applyProtection="1">
      <alignment horizontal="center"/>
    </xf>
    <xf numFmtId="7" fontId="4" fillId="0" borderId="0" xfId="0" applyNumberFormat="1" applyFont="1" applyProtection="1"/>
    <xf numFmtId="7" fontId="5" fillId="0" borderId="0" xfId="0" applyFont="1"/>
    <xf numFmtId="7" fontId="6" fillId="0" borderId="0" xfId="0" applyFont="1"/>
    <xf numFmtId="7" fontId="5" fillId="0" borderId="0" xfId="0" applyFont="1" applyAlignment="1">
      <alignment horizontal="center"/>
    </xf>
    <xf numFmtId="165" fontId="6" fillId="0" borderId="0" xfId="0" applyNumberFormat="1" applyFont="1"/>
    <xf numFmtId="7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44" fontId="2" fillId="0" borderId="0" xfId="0" applyNumberFormat="1" applyFont="1" applyProtection="1"/>
    <xf numFmtId="44" fontId="0" fillId="0" borderId="0" xfId="0" applyNumberFormat="1"/>
    <xf numFmtId="44" fontId="3" fillId="0" borderId="0" xfId="0" applyNumberFormat="1" applyFont="1" applyProtection="1"/>
    <xf numFmtId="44" fontId="6" fillId="0" borderId="0" xfId="0" applyNumberFormat="1" applyFont="1"/>
    <xf numFmtId="44" fontId="9" fillId="0" borderId="0" xfId="0" applyNumberFormat="1" applyFont="1" applyProtection="1"/>
    <xf numFmtId="44" fontId="2" fillId="0" borderId="0" xfId="0" applyNumberFormat="1" applyFont="1" applyAlignment="1" applyProtection="1">
      <alignment horizontal="center"/>
    </xf>
    <xf numFmtId="14" fontId="2" fillId="0" borderId="0" xfId="0" applyNumberFormat="1" applyFont="1" applyAlignment="1" applyProtection="1">
      <alignment horizontal="left"/>
    </xf>
    <xf numFmtId="166" fontId="2" fillId="0" borderId="0" xfId="0" applyNumberFormat="1" applyFont="1" applyProtection="1"/>
    <xf numFmtId="166" fontId="2" fillId="0" borderId="0" xfId="0" applyNumberFormat="1" applyFont="1" applyAlignment="1" applyProtection="1">
      <alignment horizontal="center"/>
    </xf>
    <xf numFmtId="44" fontId="10" fillId="0" borderId="0" xfId="0" applyNumberFormat="1" applyFont="1"/>
    <xf numFmtId="44" fontId="2" fillId="0" borderId="0" xfId="0" applyNumberFormat="1" applyFont="1" applyBorder="1" applyProtection="1"/>
    <xf numFmtId="0" fontId="7" fillId="0" borderId="0" xfId="1" applyFont="1"/>
    <xf numFmtId="44" fontId="7" fillId="0" borderId="0" xfId="1" applyNumberFormat="1" applyFont="1"/>
    <xf numFmtId="44" fontId="7" fillId="0" borderId="0" xfId="1" applyNumberFormat="1" applyFont="1" applyBorder="1"/>
    <xf numFmtId="44" fontId="7" fillId="0" borderId="1" xfId="1" applyNumberFormat="1" applyFont="1" applyBorder="1"/>
    <xf numFmtId="44" fontId="7" fillId="0" borderId="2" xfId="1" applyNumberFormat="1" applyFont="1" applyBorder="1"/>
    <xf numFmtId="7" fontId="3" fillId="0" borderId="0" xfId="0" applyNumberFormat="1" applyFont="1" applyAlignment="1" applyProtection="1">
      <alignment horizontal="right"/>
    </xf>
    <xf numFmtId="44" fontId="6" fillId="0" borderId="1" xfId="0" applyNumberFormat="1" applyFont="1" applyBorder="1"/>
    <xf numFmtId="0" fontId="6" fillId="0" borderId="0" xfId="0" applyNumberFormat="1" applyFont="1"/>
    <xf numFmtId="7" fontId="0" fillId="0" borderId="0" xfId="0" applyAlignment="1">
      <alignment horizontal="center"/>
    </xf>
    <xf numFmtId="165" fontId="12" fillId="0" borderId="0" xfId="0" applyNumberFormat="1" applyFont="1"/>
    <xf numFmtId="7" fontId="12" fillId="0" borderId="0" xfId="0" applyFont="1"/>
    <xf numFmtId="7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7" fontId="5" fillId="0" borderId="0" xfId="0" applyFont="1" applyAlignment="1">
      <alignment horizontal="left"/>
    </xf>
    <xf numFmtId="44" fontId="12" fillId="0" borderId="0" xfId="0" applyNumberFormat="1" applyFont="1"/>
    <xf numFmtId="0" fontId="12" fillId="0" borderId="0" xfId="0" applyNumberFormat="1" applyFont="1"/>
    <xf numFmtId="7" fontId="13" fillId="0" borderId="0" xfId="0" applyFont="1"/>
    <xf numFmtId="0" fontId="15" fillId="0" borderId="0" xfId="1" applyFont="1"/>
    <xf numFmtId="0" fontId="7" fillId="0" borderId="0" xfId="1" applyFont="1" applyAlignment="1">
      <alignment horizontal="center"/>
    </xf>
    <xf numFmtId="0" fontId="7" fillId="0" borderId="1" xfId="1" applyFont="1" applyBorder="1" applyAlignment="1">
      <alignment horizontal="center"/>
    </xf>
    <xf numFmtId="0" fontId="8" fillId="0" borderId="0" xfId="1" applyFont="1" applyAlignment="1">
      <alignment horizontal="center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7" fontId="16" fillId="0" borderId="0" xfId="0" applyFont="1" applyAlignment="1">
      <alignment horizontal="center"/>
    </xf>
    <xf numFmtId="7" fontId="6" fillId="0" borderId="0" xfId="0" applyFont="1" applyAlignment="1">
      <alignment horizontal="right"/>
    </xf>
    <xf numFmtId="44" fontId="6" fillId="0" borderId="3" xfId="0" applyNumberFormat="1" applyFont="1" applyBorder="1"/>
    <xf numFmtId="7" fontId="16" fillId="0" borderId="0" xfId="0" applyFont="1"/>
    <xf numFmtId="44" fontId="17" fillId="0" borderId="0" xfId="0" applyNumberFormat="1" applyFont="1"/>
    <xf numFmtId="165" fontId="17" fillId="0" borderId="0" xfId="0" applyNumberFormat="1" applyFont="1"/>
    <xf numFmtId="7" fontId="17" fillId="0" borderId="0" xfId="0" applyFont="1"/>
    <xf numFmtId="44" fontId="17" fillId="0" borderId="1" xfId="0" applyNumberFormat="1" applyFont="1" applyBorder="1"/>
    <xf numFmtId="0" fontId="5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/>
    <xf numFmtId="44" fontId="17" fillId="0" borderId="0" xfId="0" applyNumberFormat="1" applyFont="1" applyBorder="1"/>
    <xf numFmtId="14" fontId="17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7" fontId="17" fillId="0" borderId="0" xfId="0" applyFont="1" applyAlignment="1">
      <alignment horizontal="left"/>
    </xf>
    <xf numFmtId="44" fontId="17" fillId="0" borderId="0" xfId="0" applyNumberFormat="1" applyFont="1" applyAlignment="1">
      <alignment horizontal="center"/>
    </xf>
    <xf numFmtId="44" fontId="6" fillId="0" borderId="0" xfId="0" applyNumberFormat="1" applyFont="1" applyBorder="1"/>
    <xf numFmtId="7" fontId="18" fillId="0" borderId="0" xfId="0" applyFont="1"/>
    <xf numFmtId="7" fontId="2" fillId="0" borderId="0" xfId="0" applyNumberFormat="1" applyFont="1" applyFill="1" applyProtection="1"/>
    <xf numFmtId="44" fontId="6" fillId="0" borderId="0" xfId="0" applyNumberFormat="1" applyFont="1" applyFill="1"/>
    <xf numFmtId="44" fontId="17" fillId="0" borderId="0" xfId="0" applyNumberFormat="1" applyFont="1" applyFill="1"/>
    <xf numFmtId="44" fontId="2" fillId="0" borderId="0" xfId="0" applyNumberFormat="1" applyFont="1" applyFill="1" applyProtection="1"/>
    <xf numFmtId="7" fontId="0" fillId="0" borderId="0" xfId="0" applyFill="1"/>
    <xf numFmtId="44" fontId="0" fillId="0" borderId="0" xfId="0" applyNumberFormat="1" applyFill="1"/>
    <xf numFmtId="14" fontId="6" fillId="0" borderId="0" xfId="0" applyNumberFormat="1" applyFont="1" applyAlignment="1">
      <alignment horizontal="center"/>
    </xf>
    <xf numFmtId="7" fontId="6" fillId="0" borderId="0" xfId="0" applyFont="1" applyFill="1"/>
    <xf numFmtId="44" fontId="15" fillId="0" borderId="0" xfId="1" applyNumberFormat="1" applyFont="1"/>
    <xf numFmtId="44" fontId="2" fillId="0" borderId="1" xfId="0" applyNumberFormat="1" applyFont="1" applyBorder="1" applyProtection="1"/>
    <xf numFmtId="44" fontId="2" fillId="0" borderId="3" xfId="0" applyNumberFormat="1" applyFont="1" applyBorder="1" applyProtection="1"/>
    <xf numFmtId="44" fontId="0" fillId="0" borderId="3" xfId="0" applyNumberFormat="1" applyBorder="1"/>
    <xf numFmtId="44" fontId="2" fillId="0" borderId="2" xfId="0" applyNumberFormat="1" applyFont="1" applyBorder="1" applyProtection="1"/>
    <xf numFmtId="44" fontId="0" fillId="0" borderId="2" xfId="0" applyNumberFormat="1" applyBorder="1"/>
    <xf numFmtId="44" fontId="2" fillId="0" borderId="1" xfId="0" applyNumberFormat="1" applyFont="1" applyFill="1" applyBorder="1" applyProtection="1"/>
    <xf numFmtId="44" fontId="17" fillId="0" borderId="3" xfId="0" applyNumberFormat="1" applyFont="1" applyBorder="1"/>
    <xf numFmtId="44" fontId="0" fillId="0" borderId="0" xfId="0" applyNumberFormat="1" applyFont="1"/>
    <xf numFmtId="44" fontId="0" fillId="0" borderId="2" xfId="0" applyNumberFormat="1" applyFont="1" applyBorder="1"/>
    <xf numFmtId="7" fontId="0" fillId="0" borderId="0" xfId="0" applyFont="1"/>
    <xf numFmtId="44" fontId="2" fillId="0" borderId="3" xfId="0" applyNumberFormat="1" applyFont="1" applyFill="1" applyBorder="1" applyProtection="1"/>
    <xf numFmtId="44" fontId="2" fillId="0" borderId="0" xfId="0" applyNumberFormat="1" applyFont="1" applyFill="1" applyBorder="1" applyProtection="1"/>
    <xf numFmtId="44" fontId="7" fillId="0" borderId="3" xfId="1" applyNumberFormat="1" applyFont="1" applyBorder="1"/>
    <xf numFmtId="44" fontId="6" fillId="0" borderId="2" xfId="0" applyNumberFormat="1" applyFont="1" applyBorder="1"/>
    <xf numFmtId="44" fontId="6" fillId="0" borderId="2" xfId="0" applyNumberFormat="1" applyFont="1" applyFill="1" applyBorder="1"/>
    <xf numFmtId="44" fontId="0" fillId="0" borderId="0" xfId="0" applyNumberFormat="1" applyBorder="1"/>
    <xf numFmtId="44" fontId="17" fillId="0" borderId="2" xfId="0" applyNumberFormat="1" applyFont="1" applyBorder="1"/>
    <xf numFmtId="165" fontId="18" fillId="0" borderId="0" xfId="0" applyNumberFormat="1" applyFont="1"/>
    <xf numFmtId="44" fontId="7" fillId="0" borderId="0" xfId="1" applyNumberFormat="1" applyFont="1" applyFill="1"/>
    <xf numFmtId="0" fontId="14" fillId="0" borderId="0" xfId="1" applyFont="1" applyAlignment="1">
      <alignment horizontal="center"/>
    </xf>
    <xf numFmtId="7" fontId="0" fillId="0" borderId="0" xfId="0" applyAlignment="1"/>
    <xf numFmtId="7" fontId="17" fillId="0" borderId="0" xfId="0" applyFont="1" applyFill="1"/>
    <xf numFmtId="0" fontId="17" fillId="0" borderId="0" xfId="0" applyNumberFormat="1" applyFont="1" applyFill="1" applyAlignment="1">
      <alignment horizontal="center"/>
    </xf>
    <xf numFmtId="44" fontId="17" fillId="0" borderId="0" xfId="0" applyNumberFormat="1" applyFont="1" applyFill="1" applyBorder="1"/>
    <xf numFmtId="165" fontId="17" fillId="0" borderId="0" xfId="0" applyNumberFormat="1" applyFont="1" applyFill="1"/>
    <xf numFmtId="7" fontId="16" fillId="0" borderId="0" xfId="0" applyFont="1" applyFill="1"/>
    <xf numFmtId="0" fontId="16" fillId="0" borderId="0" xfId="0" applyNumberFormat="1" applyFont="1" applyFill="1"/>
    <xf numFmtId="44" fontId="17" fillId="0" borderId="3" xfId="0" applyNumberFormat="1" applyFont="1" applyFill="1" applyBorder="1"/>
    <xf numFmtId="0" fontId="16" fillId="0" borderId="0" xfId="0" applyNumberFormat="1" applyFont="1" applyFill="1" applyAlignment="1">
      <alignment horizontal="center"/>
    </xf>
    <xf numFmtId="44" fontId="6" fillId="0" borderId="0" xfId="0" applyNumberFormat="1" applyFont="1" applyFill="1" applyBorder="1"/>
    <xf numFmtId="44" fontId="6" fillId="0" borderId="1" xfId="0" applyNumberFormat="1" applyFont="1" applyFill="1" applyBorder="1"/>
    <xf numFmtId="0" fontId="6" fillId="0" borderId="0" xfId="0" applyNumberFormat="1" applyFont="1" applyFill="1" applyAlignment="1">
      <alignment horizontal="right"/>
    </xf>
    <xf numFmtId="0" fontId="6" fillId="0" borderId="0" xfId="0" applyNumberFormat="1" applyFont="1" applyFill="1"/>
    <xf numFmtId="167" fontId="6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167" fontId="16" fillId="0" borderId="0" xfId="0" applyNumberFormat="1" applyFont="1" applyAlignment="1">
      <alignment horizontal="center"/>
    </xf>
    <xf numFmtId="167" fontId="6" fillId="0" borderId="0" xfId="0" applyNumberFormat="1" applyFont="1"/>
    <xf numFmtId="7" fontId="6" fillId="0" borderId="0" xfId="0" applyFont="1" applyAlignment="1">
      <alignment horizontal="left"/>
    </xf>
    <xf numFmtId="167" fontId="6" fillId="0" borderId="0" xfId="0" applyNumberFormat="1" applyFont="1" applyBorder="1" applyAlignment="1">
      <alignment horizontal="center"/>
    </xf>
    <xf numFmtId="44" fontId="6" fillId="0" borderId="3" xfId="0" applyNumberFormat="1" applyFont="1" applyFill="1" applyBorder="1"/>
    <xf numFmtId="1" fontId="12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1" fontId="17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7" fontId="2" fillId="0" borderId="0" xfId="2" applyNumberFormat="1" applyFont="1" applyProtection="1"/>
    <xf numFmtId="7" fontId="3" fillId="0" borderId="0" xfId="2" applyNumberFormat="1" applyFont="1" applyAlignment="1" applyProtection="1">
      <alignment horizontal="center"/>
    </xf>
    <xf numFmtId="7" fontId="6" fillId="0" borderId="0" xfId="2"/>
    <xf numFmtId="7" fontId="2" fillId="0" borderId="0" xfId="2" applyNumberFormat="1" applyFont="1" applyAlignment="1" applyProtection="1">
      <alignment horizontal="center"/>
    </xf>
    <xf numFmtId="7" fontId="3" fillId="0" borderId="0" xfId="2" applyNumberFormat="1" applyFont="1" applyProtection="1"/>
    <xf numFmtId="37" fontId="2" fillId="0" borderId="0" xfId="2" applyNumberFormat="1" applyFont="1" applyProtection="1"/>
    <xf numFmtId="44" fontId="2" fillId="0" borderId="0" xfId="2" applyNumberFormat="1" applyFont="1" applyFill="1" applyProtection="1"/>
    <xf numFmtId="7" fontId="6" fillId="0" borderId="0" xfId="2" applyFont="1"/>
    <xf numFmtId="44" fontId="2" fillId="0" borderId="0" xfId="2" applyNumberFormat="1" applyFont="1" applyProtection="1"/>
    <xf numFmtId="7" fontId="21" fillId="0" borderId="0" xfId="2" applyFont="1"/>
    <xf numFmtId="44" fontId="2" fillId="0" borderId="3" xfId="2" applyNumberFormat="1" applyFont="1" applyFill="1" applyBorder="1" applyProtection="1"/>
    <xf numFmtId="44" fontId="6" fillId="0" borderId="0" xfId="2" applyNumberFormat="1" applyFill="1"/>
    <xf numFmtId="44" fontId="6" fillId="0" borderId="0" xfId="2" applyNumberFormat="1"/>
    <xf numFmtId="44" fontId="2" fillId="0" borderId="3" xfId="2" applyNumberFormat="1" applyFont="1" applyBorder="1" applyProtection="1"/>
    <xf numFmtId="44" fontId="6" fillId="0" borderId="2" xfId="2" applyNumberFormat="1" applyBorder="1"/>
    <xf numFmtId="1" fontId="2" fillId="0" borderId="0" xfId="0" applyNumberFormat="1" applyFont="1" applyAlignment="1" applyProtection="1">
      <alignment horizontal="center"/>
    </xf>
    <xf numFmtId="7" fontId="22" fillId="0" borderId="0" xfId="0" applyFont="1"/>
    <xf numFmtId="44" fontId="0" fillId="0" borderId="0" xfId="0" applyNumberFormat="1" applyAlignment="1">
      <alignment horizontal="center"/>
    </xf>
    <xf numFmtId="14" fontId="2" fillId="0" borderId="0" xfId="0" applyNumberFormat="1" applyFont="1" applyFill="1" applyAlignment="1" applyProtection="1">
      <alignment horizontal="left"/>
    </xf>
    <xf numFmtId="10" fontId="2" fillId="0" borderId="0" xfId="0" applyNumberFormat="1" applyFont="1" applyFill="1" applyAlignment="1" applyProtection="1">
      <alignment horizontal="center"/>
    </xf>
    <xf numFmtId="166" fontId="2" fillId="0" borderId="0" xfId="0" applyNumberFormat="1" applyFont="1" applyFill="1" applyAlignment="1" applyProtection="1">
      <alignment horizontal="center"/>
    </xf>
    <xf numFmtId="44" fontId="2" fillId="0" borderId="0" xfId="0" applyNumberFormat="1" applyFont="1" applyAlignment="1" applyProtection="1"/>
    <xf numFmtId="7" fontId="2" fillId="0" borderId="0" xfId="0" applyNumberFormat="1" applyFont="1" applyAlignment="1" applyProtection="1">
      <alignment horizontal="left"/>
    </xf>
    <xf numFmtId="44" fontId="23" fillId="0" borderId="0" xfId="0" applyNumberFormat="1" applyFont="1" applyBorder="1"/>
    <xf numFmtId="44" fontId="2" fillId="0" borderId="0" xfId="2" applyNumberFormat="1" applyFont="1" applyFill="1" applyBorder="1" applyProtection="1"/>
    <xf numFmtId="44" fontId="2" fillId="0" borderId="0" xfId="2" applyNumberFormat="1" applyFont="1" applyBorder="1" applyProtection="1"/>
    <xf numFmtId="44" fontId="0" fillId="0" borderId="0" xfId="0" applyNumberFormat="1" applyFont="1" applyFill="1"/>
    <xf numFmtId="0" fontId="0" fillId="0" borderId="0" xfId="0" applyNumberFormat="1" applyFont="1" applyAlignment="1">
      <alignment horizontal="left"/>
    </xf>
    <xf numFmtId="0" fontId="0" fillId="0" borderId="0" xfId="0" applyNumberFormat="1" applyFont="1"/>
    <xf numFmtId="7" fontId="0" fillId="0" borderId="0" xfId="0" applyFill="1" applyAlignment="1"/>
    <xf numFmtId="0" fontId="7" fillId="0" borderId="0" xfId="1" applyFont="1" applyFill="1" applyAlignment="1">
      <alignment horizontal="center"/>
    </xf>
    <xf numFmtId="0" fontId="7" fillId="0" borderId="1" xfId="1" applyFont="1" applyFill="1" applyBorder="1" applyAlignment="1">
      <alignment horizontal="center"/>
    </xf>
    <xf numFmtId="44" fontId="7" fillId="0" borderId="0" xfId="1" applyNumberFormat="1" applyFont="1" applyFill="1" applyBorder="1"/>
    <xf numFmtId="44" fontId="7" fillId="0" borderId="1" xfId="1" applyNumberFormat="1" applyFont="1" applyFill="1" applyBorder="1"/>
    <xf numFmtId="44" fontId="7" fillId="0" borderId="2" xfId="1" applyNumberFormat="1" applyFont="1" applyFill="1" applyBorder="1"/>
    <xf numFmtId="44" fontId="7" fillId="0" borderId="3" xfId="1" applyNumberFormat="1" applyFont="1" applyFill="1" applyBorder="1"/>
    <xf numFmtId="0" fontId="15" fillId="0" borderId="0" xfId="1" applyFont="1" applyFill="1"/>
    <xf numFmtId="7" fontId="0" fillId="0" borderId="0" xfId="0" applyFill="1" applyAlignment="1">
      <alignment horizontal="center"/>
    </xf>
    <xf numFmtId="44" fontId="0" fillId="0" borderId="0" xfId="0" applyNumberFormat="1" applyFont="1" applyFill="1" applyProtection="1"/>
    <xf numFmtId="44" fontId="0" fillId="0" borderId="0" xfId="0" applyNumberFormat="1" applyFont="1" applyAlignment="1">
      <alignment horizontal="center"/>
    </xf>
    <xf numFmtId="44" fontId="0" fillId="0" borderId="0" xfId="0" applyNumberFormat="1" applyFont="1" applyFill="1" applyAlignment="1">
      <alignment horizontal="center"/>
    </xf>
    <xf numFmtId="44" fontId="0" fillId="0" borderId="2" xfId="0" applyNumberFormat="1" applyFont="1" applyBorder="1" applyAlignment="1">
      <alignment horizontal="center"/>
    </xf>
    <xf numFmtId="7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0" fillId="0" borderId="0" xfId="0" applyNumberFormat="1" applyAlignment="1">
      <alignment horizontal="center"/>
    </xf>
    <xf numFmtId="44" fontId="0" fillId="0" borderId="0" xfId="0" applyNumberFormat="1" applyAlignment="1">
      <alignment horizontal="left"/>
    </xf>
    <xf numFmtId="167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/>
    <xf numFmtId="7" fontId="0" fillId="0" borderId="0" xfId="0" applyFont="1" applyFill="1"/>
    <xf numFmtId="167" fontId="16" fillId="0" borderId="0" xfId="0" applyNumberFormat="1" applyFont="1" applyFill="1" applyAlignment="1">
      <alignment horizontal="center"/>
    </xf>
    <xf numFmtId="44" fontId="0" fillId="0" borderId="0" xfId="0" applyNumberFormat="1" applyFont="1" applyProtection="1"/>
    <xf numFmtId="44" fontId="0" fillId="0" borderId="1" xfId="0" applyNumberFormat="1" applyFont="1" applyFill="1" applyBorder="1" applyProtection="1"/>
    <xf numFmtId="44" fontId="0" fillId="0" borderId="1" xfId="0" applyNumberFormat="1" applyFont="1" applyBorder="1"/>
    <xf numFmtId="44" fontId="0" fillId="0" borderId="0" xfId="0" applyNumberFormat="1" applyFont="1" applyBorder="1"/>
    <xf numFmtId="7" fontId="23" fillId="0" borderId="0" xfId="0" applyFont="1"/>
    <xf numFmtId="7" fontId="2" fillId="0" borderId="0" xfId="0" applyNumberFormat="1" applyFont="1" applyAlignment="1" applyProtection="1">
      <alignment horizontal="center"/>
    </xf>
    <xf numFmtId="7" fontId="0" fillId="0" borderId="0" xfId="0" applyAlignment="1">
      <alignment horizontal="center"/>
    </xf>
    <xf numFmtId="44" fontId="0" fillId="0" borderId="0" xfId="0" applyNumberFormat="1" applyFont="1" applyFill="1" applyBorder="1" applyProtection="1"/>
    <xf numFmtId="7" fontId="0" fillId="0" borderId="0" xfId="0" applyBorder="1"/>
    <xf numFmtId="7" fontId="2" fillId="0" borderId="0" xfId="0" applyNumberFormat="1" applyFont="1" applyAlignment="1" applyProtection="1">
      <alignment horizontal="center"/>
    </xf>
    <xf numFmtId="7" fontId="0" fillId="0" borderId="0" xfId="0" applyAlignment="1">
      <alignment horizontal="center"/>
    </xf>
    <xf numFmtId="7" fontId="0" fillId="0" borderId="0" xfId="0" applyAlignment="1">
      <alignment horizontal="center"/>
    </xf>
    <xf numFmtId="7" fontId="11" fillId="0" borderId="0" xfId="0" applyFont="1" applyAlignment="1">
      <alignment horizontal="center"/>
    </xf>
    <xf numFmtId="7" fontId="23" fillId="0" borderId="0" xfId="2" applyFont="1"/>
    <xf numFmtId="167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7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44" fontId="13" fillId="0" borderId="0" xfId="0" applyNumberFormat="1" applyFont="1"/>
    <xf numFmtId="165" fontId="13" fillId="0" borderId="0" xfId="0" applyNumberFormat="1" applyFont="1"/>
    <xf numFmtId="7" fontId="6" fillId="0" borderId="0" xfId="0" applyFont="1" applyBorder="1"/>
    <xf numFmtId="165" fontId="6" fillId="0" borderId="0" xfId="0" applyNumberFormat="1" applyFont="1" applyBorder="1"/>
    <xf numFmtId="1" fontId="0" fillId="0" borderId="0" xfId="0" applyNumberFormat="1" applyBorder="1" applyAlignment="1">
      <alignment horizontal="center"/>
    </xf>
    <xf numFmtId="1" fontId="0" fillId="0" borderId="0" xfId="0" applyNumberFormat="1" applyAlignment="1" applyProtection="1">
      <alignment horizontal="center"/>
    </xf>
    <xf numFmtId="44" fontId="0" fillId="0" borderId="0" xfId="0" applyNumberFormat="1" applyFont="1" applyBorder="1" applyAlignment="1">
      <alignment horizontal="center"/>
    </xf>
    <xf numFmtId="44" fontId="6" fillId="0" borderId="0" xfId="0" applyNumberFormat="1" applyFont="1" applyAlignment="1">
      <alignment horizontal="left"/>
    </xf>
    <xf numFmtId="44" fontId="22" fillId="0" borderId="0" xfId="0" applyNumberFormat="1" applyFont="1" applyAlignment="1">
      <alignment horizontal="left"/>
    </xf>
    <xf numFmtId="44" fontId="22" fillId="0" borderId="0" xfId="0" applyNumberFormat="1" applyFont="1"/>
    <xf numFmtId="44" fontId="0" fillId="0" borderId="0" xfId="0" applyNumberFormat="1" applyFont="1" applyAlignment="1">
      <alignment horizontal="left"/>
    </xf>
    <xf numFmtId="44" fontId="23" fillId="0" borderId="0" xfId="0" applyNumberFormat="1" applyFont="1"/>
    <xf numFmtId="44" fontId="6" fillId="0" borderId="0" xfId="2" applyNumberFormat="1" applyAlignment="1">
      <alignment horizontal="left"/>
    </xf>
    <xf numFmtId="44" fontId="6" fillId="0" borderId="0" xfId="2" applyNumberFormat="1" applyFont="1"/>
    <xf numFmtId="44" fontId="6" fillId="0" borderId="0" xfId="2" applyNumberFormat="1" applyFont="1" applyFill="1" applyAlignment="1">
      <alignment horizontal="left"/>
    </xf>
    <xf numFmtId="44" fontId="21" fillId="0" borderId="0" xfId="2" applyNumberFormat="1" applyFont="1" applyFill="1"/>
    <xf numFmtId="44" fontId="0" fillId="0" borderId="0" xfId="2" applyNumberFormat="1" applyFont="1"/>
    <xf numFmtId="168" fontId="2" fillId="0" borderId="0" xfId="0" applyNumberFormat="1" applyFont="1" applyAlignment="1" applyProtection="1">
      <alignment horizontal="center"/>
    </xf>
    <xf numFmtId="44" fontId="0" fillId="0" borderId="0" xfId="0" applyNumberFormat="1" applyFont="1" applyAlignment="1" applyProtection="1">
      <alignment horizontal="right"/>
    </xf>
    <xf numFmtId="7" fontId="0" fillId="0" borderId="0" xfId="2" applyFont="1"/>
    <xf numFmtId="0" fontId="1" fillId="0" borderId="0" xfId="1" applyFont="1"/>
    <xf numFmtId="44" fontId="0" fillId="0" borderId="0" xfId="0" applyNumberFormat="1" applyBorder="1" applyAlignment="1">
      <alignment horizontal="left"/>
    </xf>
    <xf numFmtId="44" fontId="0" fillId="0" borderId="0" xfId="0" applyNumberFormat="1" applyFill="1" applyBorder="1"/>
    <xf numFmtId="7" fontId="0" fillId="0" borderId="0" xfId="0" applyFill="1" applyBorder="1"/>
    <xf numFmtId="0" fontId="14" fillId="0" borderId="0" xfId="1" applyFont="1" applyAlignment="1">
      <alignment horizontal="center"/>
    </xf>
    <xf numFmtId="7" fontId="0" fillId="0" borderId="0" xfId="0" applyAlignment="1">
      <alignment horizontal="center"/>
    </xf>
    <xf numFmtId="7" fontId="0" fillId="0" borderId="0" xfId="0" applyAlignment="1"/>
    <xf numFmtId="7" fontId="2" fillId="0" borderId="0" xfId="0" applyNumberFormat="1" applyFont="1" applyAlignment="1" applyProtection="1">
      <alignment horizontal="center"/>
    </xf>
    <xf numFmtId="7" fontId="3" fillId="0" borderId="0" xfId="0" applyNumberFormat="1" applyFont="1" applyAlignment="1" applyProtection="1">
      <alignment horizontal="center"/>
    </xf>
    <xf numFmtId="7" fontId="0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44" fontId="2" fillId="0" borderId="4" xfId="0" applyNumberFormat="1" applyFont="1" applyBorder="1" applyProtection="1"/>
    <xf numFmtId="7" fontId="0" fillId="0" borderId="0" xfId="2" applyFont="1" applyAlignment="1">
      <alignment horizontal="center"/>
    </xf>
    <xf numFmtId="0" fontId="7" fillId="0" borderId="0" xfId="1" applyFont="1" applyBorder="1" applyAlignment="1">
      <alignment horizontal="center"/>
    </xf>
    <xf numFmtId="7" fontId="2" fillId="0" borderId="0" xfId="0" applyNumberFormat="1" applyFont="1" applyAlignment="1" applyProtection="1">
      <alignment horizontal="center"/>
    </xf>
    <xf numFmtId="0" fontId="14" fillId="0" borderId="0" xfId="1" applyFont="1" applyAlignment="1">
      <alignment horizontal="center"/>
    </xf>
    <xf numFmtId="7" fontId="0" fillId="0" borderId="0" xfId="0" applyAlignment="1">
      <alignment horizontal="center"/>
    </xf>
    <xf numFmtId="7" fontId="0" fillId="0" borderId="0" xfId="0" applyAlignment="1"/>
    <xf numFmtId="10" fontId="0" fillId="0" borderId="0" xfId="0" applyNumberFormat="1" applyAlignment="1">
      <alignment horizontal="center"/>
    </xf>
    <xf numFmtId="7" fontId="24" fillId="0" borderId="0" xfId="0" applyNumberFormat="1" applyFont="1" applyAlignment="1" applyProtection="1">
      <alignment horizontal="left"/>
    </xf>
    <xf numFmtId="7" fontId="25" fillId="0" borderId="0" xfId="0" applyNumberFormat="1" applyFont="1" applyAlignment="1" applyProtection="1">
      <alignment horizontal="left"/>
    </xf>
    <xf numFmtId="0" fontId="7" fillId="0" borderId="0" xfId="1" applyFont="1" applyFill="1" applyBorder="1" applyAlignment="1">
      <alignment horizontal="center"/>
    </xf>
    <xf numFmtId="44" fontId="15" fillId="0" borderId="0" xfId="1" applyNumberFormat="1" applyFont="1" applyFill="1"/>
    <xf numFmtId="0" fontId="7" fillId="0" borderId="0" xfId="1" applyFont="1" applyFill="1"/>
    <xf numFmtId="7" fontId="26" fillId="0" borderId="0" xfId="0" applyNumberFormat="1" applyFont="1" applyFill="1" applyProtection="1"/>
    <xf numFmtId="7" fontId="2" fillId="0" borderId="0" xfId="2" applyNumberFormat="1" applyFont="1" applyFill="1" applyProtection="1"/>
    <xf numFmtId="37" fontId="2" fillId="0" borderId="0" xfId="2" applyNumberFormat="1" applyFont="1" applyFill="1" applyProtection="1"/>
    <xf numFmtId="44" fontId="2" fillId="0" borderId="5" xfId="0" applyNumberFormat="1" applyFont="1" applyBorder="1" applyProtection="1"/>
    <xf numFmtId="7" fontId="11" fillId="0" borderId="0" xfId="0" applyFont="1" applyFill="1" applyAlignment="1">
      <alignment horizontal="center"/>
    </xf>
    <xf numFmtId="7" fontId="2" fillId="0" borderId="0" xfId="0" applyNumberFormat="1" applyFont="1" applyFill="1" applyAlignment="1" applyProtection="1">
      <alignment horizontal="center"/>
    </xf>
    <xf numFmtId="0" fontId="8" fillId="0" borderId="0" xfId="1" applyFont="1" applyFill="1" applyAlignment="1">
      <alignment horizontal="center"/>
    </xf>
    <xf numFmtId="7" fontId="2" fillId="0" borderId="0" xfId="0" applyNumberFormat="1" applyFont="1" applyBorder="1" applyProtection="1"/>
    <xf numFmtId="44" fontId="17" fillId="0" borderId="1" xfId="0" applyNumberFormat="1" applyFont="1" applyFill="1" applyBorder="1"/>
    <xf numFmtId="167" fontId="0" fillId="0" borderId="0" xfId="0" applyNumberFormat="1" applyFont="1" applyAlignment="1">
      <alignment horizontal="center"/>
    </xf>
    <xf numFmtId="165" fontId="0" fillId="0" borderId="0" xfId="0" applyNumberFormat="1" applyFont="1"/>
    <xf numFmtId="7" fontId="27" fillId="0" borderId="0" xfId="0" applyFont="1"/>
    <xf numFmtId="44" fontId="27" fillId="0" borderId="0" xfId="0" applyNumberFormat="1" applyFont="1"/>
    <xf numFmtId="165" fontId="27" fillId="0" borderId="0" xfId="0" applyNumberFormat="1" applyFont="1"/>
    <xf numFmtId="44" fontId="0" fillId="0" borderId="0" xfId="0" applyNumberFormat="1" applyFill="1" applyAlignment="1">
      <alignment horizontal="left"/>
    </xf>
    <xf numFmtId="1" fontId="0" fillId="0" borderId="0" xfId="0" applyNumberFormat="1" applyFont="1" applyAlignment="1">
      <alignment horizontal="center"/>
    </xf>
    <xf numFmtId="7" fontId="20" fillId="0" borderId="0" xfId="0" applyNumberFormat="1" applyFont="1" applyAlignment="1" applyProtection="1">
      <alignment horizontal="center"/>
    </xf>
    <xf numFmtId="7" fontId="19" fillId="0" borderId="0" xfId="0" applyFont="1" applyAlignment="1">
      <alignment horizontal="center"/>
    </xf>
    <xf numFmtId="0" fontId="14" fillId="0" borderId="0" xfId="1" applyFont="1" applyAlignment="1">
      <alignment horizontal="center"/>
    </xf>
    <xf numFmtId="7" fontId="0" fillId="0" borderId="0" xfId="0" applyAlignment="1">
      <alignment horizontal="center"/>
    </xf>
    <xf numFmtId="7" fontId="0" fillId="0" borderId="0" xfId="0" applyAlignment="1"/>
    <xf numFmtId="7" fontId="3" fillId="0" borderId="0" xfId="0" applyNumberFormat="1" applyFont="1" applyAlignment="1" applyProtection="1">
      <alignment horizontal="center"/>
    </xf>
    <xf numFmtId="7" fontId="2" fillId="0" borderId="0" xfId="0" applyNumberFormat="1" applyFont="1" applyAlignment="1" applyProtection="1">
      <alignment horizontal="center"/>
    </xf>
    <xf numFmtId="7" fontId="11" fillId="0" borderId="0" xfId="0" applyFont="1" applyAlignment="1">
      <alignment horizontal="center"/>
    </xf>
    <xf numFmtId="7" fontId="5" fillId="0" borderId="0" xfId="0" applyFont="1" applyAlignment="1">
      <alignment horizontal="center"/>
    </xf>
    <xf numFmtId="164" fontId="3" fillId="0" borderId="0" xfId="0" applyNumberFormat="1" applyFont="1" applyAlignment="1" applyProtection="1">
      <alignment horizontal="center"/>
    </xf>
  </cellXfs>
  <cellStyles count="3">
    <cellStyle name="Normal" xfId="0" builtinId="0"/>
    <cellStyle name="Normal_BalanceSheet2006" xfId="1" xr:uid="{00000000-0005-0000-0000-000001000000}"/>
    <cellStyle name="Normal_Book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H56"/>
  <sheetViews>
    <sheetView tabSelected="1" zoomScale="55" zoomScaleNormal="55" workbookViewId="0">
      <selection sqref="A1:D1"/>
    </sheetView>
  </sheetViews>
  <sheetFormatPr defaultRowHeight="15" customHeight="1"/>
  <cols>
    <col min="1" max="1" width="15.77734375" customWidth="1"/>
    <col min="2" max="2" width="60.88671875" customWidth="1"/>
    <col min="3" max="3" width="32.33203125" customWidth="1"/>
    <col min="4" max="8" width="15.77734375" customWidth="1"/>
  </cols>
  <sheetData>
    <row r="1" spans="1:8" ht="22.5" customHeight="1">
      <c r="A1" s="255" t="s">
        <v>748</v>
      </c>
      <c r="B1" s="256"/>
      <c r="C1" s="256"/>
      <c r="D1" s="256"/>
    </row>
    <row r="4" spans="1:8" ht="15" customHeight="1">
      <c r="A4" s="1" t="s">
        <v>749</v>
      </c>
      <c r="B4" s="1"/>
      <c r="C4" s="1"/>
    </row>
    <row r="7" spans="1:8" ht="15" customHeight="1">
      <c r="A7" s="1" t="s">
        <v>846</v>
      </c>
      <c r="B7" s="1"/>
      <c r="C7" s="1"/>
    </row>
    <row r="9" spans="1:8" ht="15" customHeight="1">
      <c r="A9" s="1" t="s">
        <v>686</v>
      </c>
      <c r="B9" s="1"/>
      <c r="C9" s="1" t="s">
        <v>134</v>
      </c>
    </row>
    <row r="10" spans="1:8" ht="15" customHeight="1">
      <c r="A10" s="1"/>
      <c r="B10" s="1"/>
      <c r="C10" s="1"/>
    </row>
    <row r="11" spans="1:8" ht="15" customHeight="1">
      <c r="A11" s="1" t="s">
        <v>687</v>
      </c>
      <c r="B11" s="1"/>
      <c r="C11" s="1" t="s">
        <v>193</v>
      </c>
    </row>
    <row r="12" spans="1:8" ht="15" customHeight="1">
      <c r="A12" s="1"/>
      <c r="B12" s="1"/>
      <c r="C12" s="1"/>
    </row>
    <row r="13" spans="1:8" ht="15" customHeight="1">
      <c r="A13" s="1" t="s">
        <v>688</v>
      </c>
      <c r="B13" s="1"/>
      <c r="C13" s="1" t="s">
        <v>685</v>
      </c>
    </row>
    <row r="15" spans="1:8" ht="15" customHeight="1">
      <c r="A15" s="1" t="s">
        <v>692</v>
      </c>
      <c r="B15" s="1"/>
      <c r="C15" s="1" t="s">
        <v>134</v>
      </c>
      <c r="H15" s="73"/>
    </row>
    <row r="17" spans="1:3" ht="15" customHeight="1">
      <c r="A17" s="1" t="s">
        <v>10</v>
      </c>
      <c r="B17" s="1"/>
      <c r="C17" s="1"/>
    </row>
    <row r="18" spans="1:3" ht="15" customHeight="1">
      <c r="A18" s="1" t="s">
        <v>682</v>
      </c>
      <c r="B18" s="1"/>
      <c r="C18" s="1"/>
    </row>
    <row r="19" spans="1:3" ht="15" customHeight="1">
      <c r="A19" s="1" t="s">
        <v>135</v>
      </c>
      <c r="B19" s="1"/>
      <c r="C19" s="1"/>
    </row>
    <row r="20" spans="1:3" ht="15" customHeight="1">
      <c r="A20" s="1" t="s">
        <v>683</v>
      </c>
      <c r="B20" s="1"/>
      <c r="C20" s="1"/>
    </row>
    <row r="21" spans="1:3" ht="15" customHeight="1">
      <c r="A21" s="1" t="s">
        <v>684</v>
      </c>
    </row>
    <row r="23" spans="1:3" ht="15" customHeight="1">
      <c r="A23" s="1" t="s">
        <v>136</v>
      </c>
      <c r="B23" s="1"/>
      <c r="C23" s="1"/>
    </row>
    <row r="24" spans="1:3" ht="15" customHeight="1">
      <c r="A24" s="1" t="s">
        <v>684</v>
      </c>
      <c r="B24" s="1"/>
      <c r="C24" s="1" t="s">
        <v>646</v>
      </c>
    </row>
    <row r="25" spans="1:3" ht="15" customHeight="1">
      <c r="A25" s="1" t="s">
        <v>684</v>
      </c>
      <c r="B25" s="1"/>
      <c r="C25" s="1" t="s">
        <v>647</v>
      </c>
    </row>
    <row r="26" spans="1:3" ht="15" customHeight="1">
      <c r="A26" s="1" t="s">
        <v>684</v>
      </c>
      <c r="B26" s="1"/>
      <c r="C26" s="1" t="s">
        <v>132</v>
      </c>
    </row>
    <row r="27" spans="1:3" ht="15" customHeight="1">
      <c r="A27" s="1" t="s">
        <v>684</v>
      </c>
      <c r="C27" s="1" t="s">
        <v>650</v>
      </c>
    </row>
    <row r="28" spans="1:3" ht="15" customHeight="1">
      <c r="A28" s="1" t="s">
        <v>684</v>
      </c>
      <c r="C28" s="1" t="s">
        <v>689</v>
      </c>
    </row>
    <row r="30" spans="1:3" ht="15" customHeight="1">
      <c r="A30" s="1" t="s">
        <v>9</v>
      </c>
      <c r="B30" s="1"/>
      <c r="C30" s="1"/>
    </row>
    <row r="31" spans="1:3" ht="15" customHeight="1">
      <c r="A31" s="1" t="s">
        <v>684</v>
      </c>
      <c r="B31" s="1"/>
      <c r="C31" s="1" t="s">
        <v>134</v>
      </c>
    </row>
    <row r="32" spans="1:3" ht="15" customHeight="1">
      <c r="A32" s="1"/>
      <c r="B32" s="1"/>
      <c r="C32" s="1"/>
    </row>
    <row r="33" spans="1:3" ht="15" customHeight="1">
      <c r="A33" s="1" t="s">
        <v>366</v>
      </c>
      <c r="B33" s="1"/>
      <c r="C33" s="1"/>
    </row>
    <row r="34" spans="1:3" ht="15" customHeight="1">
      <c r="A34" s="1" t="s">
        <v>690</v>
      </c>
      <c r="B34" s="1"/>
      <c r="C34" s="1" t="s">
        <v>786</v>
      </c>
    </row>
    <row r="35" spans="1:3" ht="15" customHeight="1">
      <c r="A35" s="1"/>
      <c r="B35" s="1"/>
      <c r="C35" s="1"/>
    </row>
    <row r="36" spans="1:3" ht="15" customHeight="1">
      <c r="A36" s="1" t="s">
        <v>34</v>
      </c>
      <c r="B36" s="1"/>
      <c r="C36" s="1"/>
    </row>
    <row r="37" spans="1:3" ht="15" customHeight="1">
      <c r="A37" s="1" t="s">
        <v>684</v>
      </c>
      <c r="B37" s="1"/>
      <c r="C37" s="1" t="s">
        <v>655</v>
      </c>
    </row>
    <row r="38" spans="1:3" ht="15" customHeight="1">
      <c r="A38" s="1" t="s">
        <v>684</v>
      </c>
      <c r="B38" s="1"/>
      <c r="C38" s="1" t="s">
        <v>656</v>
      </c>
    </row>
    <row r="39" spans="1:3" ht="15" customHeight="1">
      <c r="A39" s="1" t="s">
        <v>684</v>
      </c>
      <c r="B39" s="1"/>
      <c r="C39" s="1" t="s">
        <v>239</v>
      </c>
    </row>
    <row r="41" spans="1:3" ht="15" customHeight="1">
      <c r="A41" s="1" t="s">
        <v>139</v>
      </c>
      <c r="B41" s="1"/>
      <c r="C41" s="1"/>
    </row>
    <row r="42" spans="1:3" ht="15" customHeight="1">
      <c r="A42" s="1" t="s">
        <v>705</v>
      </c>
      <c r="B42" s="1"/>
      <c r="C42" s="1" t="s">
        <v>831</v>
      </c>
    </row>
    <row r="43" spans="1:3" ht="15" customHeight="1">
      <c r="A43" s="1" t="s">
        <v>705</v>
      </c>
      <c r="B43" s="1"/>
      <c r="C43" s="1" t="s">
        <v>691</v>
      </c>
    </row>
    <row r="45" spans="1:3" ht="15" customHeight="1">
      <c r="A45" s="1" t="s">
        <v>140</v>
      </c>
      <c r="B45" s="1"/>
      <c r="C45" s="1"/>
    </row>
    <row r="48" spans="1:3" ht="15" customHeight="1">
      <c r="A48" s="69" t="s">
        <v>889</v>
      </c>
      <c r="B48" s="69"/>
      <c r="C48" s="69"/>
    </row>
    <row r="49" spans="1:3" ht="15" customHeight="1">
      <c r="A49" s="69"/>
      <c r="B49" s="69"/>
      <c r="C49" s="1"/>
    </row>
    <row r="50" spans="1:3" ht="15" customHeight="1">
      <c r="C50" s="1" t="s">
        <v>141</v>
      </c>
    </row>
    <row r="52" spans="1:3" ht="24.6" customHeight="1">
      <c r="A52" s="1"/>
      <c r="B52" s="1"/>
      <c r="C52" s="234" t="s">
        <v>576</v>
      </c>
    </row>
    <row r="53" spans="1:3" ht="15" customHeight="1">
      <c r="C53" s="147" t="s">
        <v>347</v>
      </c>
    </row>
    <row r="54" spans="1:3" ht="15" customHeight="1">
      <c r="A54" s="1"/>
      <c r="B54" s="1"/>
      <c r="C54" s="1"/>
    </row>
    <row r="55" spans="1:3" ht="25.9" customHeight="1">
      <c r="A55" s="1"/>
      <c r="B55" s="1"/>
      <c r="C55" s="235" t="s">
        <v>750</v>
      </c>
    </row>
    <row r="56" spans="1:3" ht="15" customHeight="1">
      <c r="C56" t="s">
        <v>797</v>
      </c>
    </row>
  </sheetData>
  <mergeCells count="1">
    <mergeCell ref="A1:D1"/>
  </mergeCells>
  <phoneticPr fontId="0" type="noConversion"/>
  <pageMargins left="0.75" right="0.75" top="0.84" bottom="1" header="0.5" footer="0.5"/>
  <pageSetup scale="5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FFFF00"/>
    <pageSetUpPr fitToPage="1"/>
  </sheetPr>
  <dimension ref="A1:F63"/>
  <sheetViews>
    <sheetView zoomScale="75" zoomScaleNormal="75" workbookViewId="0">
      <selection activeCell="C10" sqref="C10"/>
    </sheetView>
  </sheetViews>
  <sheetFormatPr defaultRowHeight="15" customHeight="1"/>
  <cols>
    <col min="1" max="1" width="57.33203125" customWidth="1"/>
    <col min="2" max="2" width="14.21875" customWidth="1"/>
    <col min="3" max="3" width="18" customWidth="1"/>
    <col min="4" max="6" width="15.77734375" customWidth="1"/>
  </cols>
  <sheetData>
    <row r="1" spans="1:6" ht="15" customHeight="1">
      <c r="A1" s="260" t="s">
        <v>45</v>
      </c>
      <c r="B1" s="258"/>
      <c r="C1" s="258"/>
      <c r="D1" s="258"/>
      <c r="E1" s="258"/>
    </row>
    <row r="3" spans="1:6" ht="15" customHeight="1">
      <c r="A3" s="260" t="s">
        <v>834</v>
      </c>
      <c r="B3" s="258"/>
      <c r="C3" s="258"/>
      <c r="D3" s="258"/>
      <c r="E3" s="258"/>
    </row>
    <row r="5" spans="1:6" ht="15" customHeight="1">
      <c r="A5" s="260" t="s">
        <v>611</v>
      </c>
      <c r="B5" s="258"/>
      <c r="C5" s="258"/>
      <c r="D5" s="258"/>
      <c r="E5" s="258"/>
    </row>
    <row r="6" spans="1:6" ht="15" customHeight="1">
      <c r="A6" s="29"/>
      <c r="C6" s="1"/>
    </row>
    <row r="7" spans="1:6" ht="15" customHeight="1">
      <c r="A7" s="29"/>
      <c r="C7" s="1"/>
    </row>
    <row r="10" spans="1:6" ht="15" customHeight="1">
      <c r="A10" s="4" t="s">
        <v>339</v>
      </c>
      <c r="B10" s="1"/>
      <c r="C10" s="1"/>
    </row>
    <row r="12" spans="1:6" ht="15" customHeight="1">
      <c r="C12" s="14"/>
      <c r="D12" s="14"/>
      <c r="E12" s="14"/>
      <c r="F12" s="14"/>
    </row>
    <row r="13" spans="1:6" ht="15" customHeight="1">
      <c r="A13" s="1" t="s">
        <v>805</v>
      </c>
      <c r="B13" s="1"/>
      <c r="C13" s="13">
        <v>2681406</v>
      </c>
      <c r="D13" s="14"/>
      <c r="E13" s="14"/>
      <c r="F13" s="14"/>
    </row>
    <row r="14" spans="1:6" ht="15" customHeight="1">
      <c r="A14" s="1"/>
      <c r="B14" s="1"/>
      <c r="C14" s="13"/>
      <c r="D14" s="14"/>
      <c r="E14" s="14"/>
      <c r="F14" s="14"/>
    </row>
    <row r="15" spans="1:6" ht="15" customHeight="1">
      <c r="A15" s="1" t="s">
        <v>716</v>
      </c>
      <c r="B15" s="1"/>
      <c r="C15" s="13">
        <v>-112395.18</v>
      </c>
      <c r="D15" s="14"/>
      <c r="E15" s="14"/>
      <c r="F15" s="14"/>
    </row>
    <row r="16" spans="1:6" ht="15" customHeight="1">
      <c r="A16" s="1" t="s">
        <v>717</v>
      </c>
      <c r="B16" s="1"/>
      <c r="C16" s="13">
        <v>-7194.16</v>
      </c>
      <c r="D16" s="14"/>
      <c r="E16" s="14"/>
      <c r="F16" s="14"/>
    </row>
    <row r="17" spans="1:6" ht="15" customHeight="1">
      <c r="A17" s="1" t="s">
        <v>713</v>
      </c>
      <c r="B17" s="1"/>
      <c r="C17" s="13">
        <v>308182.63</v>
      </c>
      <c r="D17" s="14"/>
      <c r="E17" s="14"/>
      <c r="F17" s="14"/>
    </row>
    <row r="18" spans="1:6" ht="15" customHeight="1">
      <c r="A18" s="1" t="s">
        <v>596</v>
      </c>
      <c r="B18" s="1"/>
      <c r="C18" s="13">
        <v>0</v>
      </c>
      <c r="D18" s="14"/>
      <c r="E18" s="14"/>
      <c r="F18" s="14"/>
    </row>
    <row r="19" spans="1:6" ht="15" customHeight="1">
      <c r="A19" s="1" t="s">
        <v>714</v>
      </c>
      <c r="B19" s="1"/>
      <c r="C19" s="13">
        <v>84665</v>
      </c>
      <c r="D19" s="14"/>
      <c r="E19" s="14"/>
      <c r="F19" s="14"/>
    </row>
    <row r="20" spans="1:6" ht="15" customHeight="1">
      <c r="A20" s="1" t="s">
        <v>597</v>
      </c>
      <c r="B20" s="1"/>
      <c r="C20" s="13">
        <v>160737.1</v>
      </c>
      <c r="D20" s="14"/>
      <c r="E20" s="14"/>
      <c r="F20" s="14"/>
    </row>
    <row r="21" spans="1:6" ht="15" customHeight="1">
      <c r="A21" s="1" t="s">
        <v>715</v>
      </c>
      <c r="B21" s="1"/>
      <c r="C21" s="13">
        <v>925</v>
      </c>
      <c r="D21" s="14"/>
      <c r="E21" s="14"/>
      <c r="F21" s="14"/>
    </row>
    <row r="22" spans="1:6" ht="15" customHeight="1">
      <c r="A22" s="1" t="s">
        <v>608</v>
      </c>
      <c r="B22" s="1"/>
      <c r="C22" s="13">
        <v>0</v>
      </c>
      <c r="D22" s="14"/>
      <c r="E22" s="14"/>
      <c r="F22" s="14"/>
    </row>
    <row r="23" spans="1:6" ht="15" customHeight="1">
      <c r="A23" s="1" t="s">
        <v>598</v>
      </c>
      <c r="B23" s="1"/>
      <c r="C23" s="72">
        <v>28791226.199999999</v>
      </c>
      <c r="D23" s="14"/>
      <c r="E23" s="14"/>
      <c r="F23" s="14"/>
    </row>
    <row r="24" spans="1:6" ht="15" customHeight="1">
      <c r="A24" s="1" t="s">
        <v>599</v>
      </c>
      <c r="B24" s="1"/>
      <c r="C24" s="78">
        <v>114175.08</v>
      </c>
      <c r="D24" s="14"/>
      <c r="E24" s="14"/>
      <c r="F24" s="14"/>
    </row>
    <row r="25" spans="1:6" ht="15" customHeight="1">
      <c r="A25" s="1"/>
      <c r="B25" s="1"/>
      <c r="C25" s="13"/>
      <c r="D25" s="14"/>
      <c r="E25" s="14"/>
      <c r="F25" s="14"/>
    </row>
    <row r="26" spans="1:6" ht="15" customHeight="1">
      <c r="A26" s="1" t="s">
        <v>600</v>
      </c>
      <c r="B26" s="1"/>
      <c r="C26" s="13">
        <f>SUM(C13:C24)</f>
        <v>32021727.669999998</v>
      </c>
      <c r="D26" s="14"/>
      <c r="E26" s="14"/>
      <c r="F26" s="14"/>
    </row>
    <row r="27" spans="1:6" ht="15" customHeight="1">
      <c r="A27" s="1"/>
      <c r="B27" s="1"/>
      <c r="C27" s="13"/>
      <c r="D27" s="14"/>
      <c r="E27" s="14"/>
      <c r="F27" s="14"/>
    </row>
    <row r="28" spans="1:6" ht="15" customHeight="1">
      <c r="A28" s="1" t="s">
        <v>601</v>
      </c>
      <c r="B28" s="1"/>
      <c r="C28" s="13">
        <f>-440963.76-18000-11594.01-1200</f>
        <v>-471757.77</v>
      </c>
      <c r="D28" s="14"/>
      <c r="E28" s="14"/>
      <c r="F28" s="14"/>
    </row>
    <row r="29" spans="1:6" ht="15" customHeight="1">
      <c r="A29" s="1" t="s">
        <v>602</v>
      </c>
      <c r="C29" s="14">
        <v>0</v>
      </c>
      <c r="D29" s="14"/>
      <c r="E29" s="14"/>
      <c r="F29" s="14"/>
    </row>
    <row r="30" spans="1:6" ht="15" customHeight="1">
      <c r="A30" s="1" t="s">
        <v>604</v>
      </c>
      <c r="B30" s="1"/>
      <c r="C30" s="13">
        <v>0</v>
      </c>
      <c r="D30" s="14"/>
      <c r="E30" s="14"/>
      <c r="F30" s="14"/>
    </row>
    <row r="31" spans="1:6" ht="15" customHeight="1">
      <c r="A31" s="1" t="s">
        <v>605</v>
      </c>
      <c r="B31" s="1"/>
      <c r="C31" s="13">
        <v>-157179.17000000001</v>
      </c>
      <c r="D31" s="14"/>
      <c r="E31" s="14"/>
      <c r="F31" s="14"/>
    </row>
    <row r="32" spans="1:6" ht="15" customHeight="1">
      <c r="A32" s="1" t="s">
        <v>609</v>
      </c>
      <c r="B32" s="1"/>
      <c r="C32" s="13">
        <v>0</v>
      </c>
      <c r="D32" s="14"/>
      <c r="E32" s="14"/>
      <c r="F32" s="14"/>
    </row>
    <row r="33" spans="1:6" ht="15" customHeight="1">
      <c r="A33" s="1" t="s">
        <v>606</v>
      </c>
      <c r="B33" s="1"/>
      <c r="C33" s="13">
        <v>26578.49</v>
      </c>
      <c r="D33" s="14"/>
      <c r="E33" s="14"/>
      <c r="F33" s="14"/>
    </row>
    <row r="34" spans="1:6" ht="15" customHeight="1">
      <c r="A34" s="1" t="s">
        <v>706</v>
      </c>
      <c r="B34" s="1"/>
      <c r="C34" s="13">
        <v>8296.0300000000007</v>
      </c>
      <c r="D34" s="14"/>
      <c r="E34" s="14"/>
      <c r="F34" s="14"/>
    </row>
    <row r="35" spans="1:6" ht="15" customHeight="1">
      <c r="A35" s="1" t="s">
        <v>607</v>
      </c>
      <c r="B35" s="1"/>
      <c r="C35" s="13">
        <v>0</v>
      </c>
      <c r="D35" s="14"/>
      <c r="E35" s="14"/>
      <c r="F35" s="14"/>
    </row>
    <row r="36" spans="1:6" ht="15" customHeight="1">
      <c r="A36" s="1" t="s">
        <v>610</v>
      </c>
      <c r="B36" s="1"/>
      <c r="C36" s="13">
        <f>-25196315.08-23190.38</f>
        <v>-25219505.459999997</v>
      </c>
      <c r="D36" s="14"/>
      <c r="E36" s="14"/>
      <c r="F36" s="14"/>
    </row>
    <row r="37" spans="1:6" ht="15" customHeight="1">
      <c r="A37" s="1" t="s">
        <v>612</v>
      </c>
      <c r="B37" s="1"/>
      <c r="C37" s="13">
        <v>-1650948.29</v>
      </c>
      <c r="D37" s="14"/>
      <c r="E37" s="14"/>
      <c r="F37" s="14"/>
    </row>
    <row r="38" spans="1:6" ht="15" customHeight="1">
      <c r="A38" s="1"/>
      <c r="C38" s="78"/>
      <c r="D38" s="14"/>
      <c r="E38" s="14"/>
      <c r="F38" s="14"/>
    </row>
    <row r="39" spans="1:6" ht="15" customHeight="1">
      <c r="A39" s="1"/>
      <c r="C39" s="23"/>
      <c r="D39" s="14"/>
      <c r="E39" s="14"/>
      <c r="F39" s="14"/>
    </row>
    <row r="40" spans="1:6" ht="15" customHeight="1" thickBot="1">
      <c r="A40" s="1" t="s">
        <v>832</v>
      </c>
      <c r="B40" s="1"/>
      <c r="C40" s="226">
        <f>SUM(C26:C38)</f>
        <v>4557211.4999999991</v>
      </c>
      <c r="D40" s="14"/>
      <c r="E40" s="14"/>
      <c r="F40" s="14"/>
    </row>
    <row r="41" spans="1:6" ht="15" customHeight="1" thickTop="1">
      <c r="C41" s="14"/>
      <c r="D41" s="14"/>
      <c r="E41" s="14"/>
      <c r="F41" s="14"/>
    </row>
    <row r="42" spans="1:6" ht="15" customHeight="1">
      <c r="C42" s="14"/>
      <c r="D42" s="14" t="s">
        <v>133</v>
      </c>
      <c r="E42" s="14"/>
      <c r="F42" s="14"/>
    </row>
    <row r="43" spans="1:6" ht="15" customHeight="1">
      <c r="C43" s="14"/>
      <c r="D43" s="14"/>
      <c r="E43" s="14"/>
      <c r="F43" s="14"/>
    </row>
    <row r="44" spans="1:6" ht="15" customHeight="1">
      <c r="C44" s="14"/>
      <c r="D44" s="14"/>
      <c r="E44" s="14"/>
      <c r="F44" s="14"/>
    </row>
    <row r="45" spans="1:6" ht="15" customHeight="1">
      <c r="A45" s="7" t="s">
        <v>329</v>
      </c>
      <c r="C45" s="14"/>
      <c r="D45" s="14"/>
      <c r="E45" s="14"/>
      <c r="F45" s="14"/>
    </row>
    <row r="46" spans="1:6" ht="15" customHeight="1">
      <c r="C46" s="14"/>
      <c r="D46" s="14"/>
      <c r="E46" s="14"/>
      <c r="F46" s="14"/>
    </row>
    <row r="47" spans="1:6" ht="15" customHeight="1">
      <c r="A47" t="s">
        <v>330</v>
      </c>
      <c r="C47" s="14">
        <v>471757.77</v>
      </c>
      <c r="D47" s="14"/>
      <c r="E47" s="14"/>
      <c r="F47" s="14"/>
    </row>
    <row r="48" spans="1:6" ht="15" customHeight="1">
      <c r="A48" t="s">
        <v>603</v>
      </c>
      <c r="C48" s="14">
        <v>0</v>
      </c>
      <c r="D48" s="14"/>
      <c r="E48" s="14"/>
      <c r="F48" s="14"/>
    </row>
    <row r="49" spans="1:6" ht="15" customHeight="1">
      <c r="A49" t="s">
        <v>352</v>
      </c>
      <c r="C49" s="14">
        <v>0</v>
      </c>
      <c r="D49" s="14"/>
      <c r="E49" s="14"/>
      <c r="F49" s="14"/>
    </row>
    <row r="50" spans="1:6" ht="15" customHeight="1">
      <c r="A50" t="s">
        <v>381</v>
      </c>
      <c r="C50" s="14">
        <v>0</v>
      </c>
      <c r="D50" s="14"/>
      <c r="E50" s="14"/>
      <c r="F50" s="14"/>
    </row>
    <row r="51" spans="1:6" ht="15" customHeight="1">
      <c r="A51" t="s">
        <v>382</v>
      </c>
      <c r="C51" s="14">
        <v>0</v>
      </c>
      <c r="D51" s="14"/>
      <c r="E51" s="14"/>
      <c r="F51" s="14"/>
    </row>
    <row r="52" spans="1:6" ht="15" customHeight="1">
      <c r="A52" t="s">
        <v>331</v>
      </c>
      <c r="C52" s="14">
        <v>157179.17000000001</v>
      </c>
      <c r="D52" s="14"/>
      <c r="E52" s="14"/>
      <c r="F52" s="14"/>
    </row>
    <row r="53" spans="1:6" ht="15" customHeight="1">
      <c r="A53" t="s">
        <v>369</v>
      </c>
      <c r="C53" s="14">
        <v>0</v>
      </c>
      <c r="D53" s="14"/>
      <c r="E53" s="14"/>
      <c r="F53" s="14"/>
    </row>
    <row r="54" spans="1:6" ht="15" customHeight="1">
      <c r="A54" t="s">
        <v>332</v>
      </c>
      <c r="C54" s="14">
        <f>-26578.49-8296.03</f>
        <v>-34874.520000000004</v>
      </c>
      <c r="D54" s="14"/>
      <c r="E54" s="14"/>
      <c r="F54" s="14"/>
    </row>
    <row r="55" spans="1:6" ht="15" customHeight="1">
      <c r="A55" t="s">
        <v>565</v>
      </c>
      <c r="C55" s="14">
        <v>0</v>
      </c>
      <c r="D55" s="14"/>
      <c r="E55" s="14"/>
      <c r="F55" s="14"/>
    </row>
    <row r="56" spans="1:6" ht="15" customHeight="1">
      <c r="A56" t="s">
        <v>333</v>
      </c>
      <c r="C56" s="16">
        <f>C40</f>
        <v>4557211.4999999991</v>
      </c>
      <c r="D56" s="14"/>
      <c r="E56" s="14"/>
      <c r="F56" s="14"/>
    </row>
    <row r="57" spans="1:6" ht="15" customHeight="1">
      <c r="C57" s="14"/>
      <c r="D57" s="14"/>
      <c r="E57" s="14"/>
      <c r="F57" s="14"/>
    </row>
    <row r="58" spans="1:6" ht="15" customHeight="1" thickBot="1">
      <c r="A58" t="s">
        <v>833</v>
      </c>
      <c r="C58" s="82">
        <f>SUM(C47:C56)</f>
        <v>5151273.919999999</v>
      </c>
      <c r="D58" s="14"/>
      <c r="E58" s="14"/>
      <c r="F58" s="14"/>
    </row>
    <row r="59" spans="1:6" ht="15" customHeight="1" thickTop="1">
      <c r="C59" s="14"/>
      <c r="D59" s="14"/>
      <c r="E59" s="14"/>
      <c r="F59" s="14"/>
    </row>
    <row r="60" spans="1:6" ht="15" customHeight="1">
      <c r="C60" s="14"/>
      <c r="D60" s="14"/>
      <c r="E60" s="14"/>
      <c r="F60" s="14"/>
    </row>
    <row r="61" spans="1:6" ht="15" customHeight="1">
      <c r="C61" s="14"/>
      <c r="D61" s="14"/>
      <c r="E61" s="14"/>
      <c r="F61" s="14"/>
    </row>
    <row r="62" spans="1:6" ht="15" customHeight="1">
      <c r="C62" s="14"/>
      <c r="D62" s="14"/>
      <c r="E62" s="14"/>
      <c r="F62" s="14"/>
    </row>
    <row r="63" spans="1:6" ht="15" customHeight="1">
      <c r="C63" s="14"/>
      <c r="D63" s="14"/>
      <c r="E63" s="14"/>
      <c r="F63" s="14"/>
    </row>
  </sheetData>
  <mergeCells count="3">
    <mergeCell ref="A1:E1"/>
    <mergeCell ref="A3:E3"/>
    <mergeCell ref="A5:E5"/>
  </mergeCells>
  <phoneticPr fontId="0" type="noConversion"/>
  <pageMargins left="0.75" right="0.75" top="1" bottom="1" header="0.5" footer="0.5"/>
  <pageSetup scale="5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tabColor rgb="FFFFFF00"/>
    <pageSetUpPr fitToPage="1"/>
  </sheetPr>
  <dimension ref="A1:AI40"/>
  <sheetViews>
    <sheetView zoomScaleNormal="100" workbookViewId="0">
      <selection activeCell="D26" sqref="D26"/>
    </sheetView>
  </sheetViews>
  <sheetFormatPr defaultColWidth="9" defaultRowHeight="15" customHeight="1"/>
  <cols>
    <col min="1" max="1" width="30" style="8" customWidth="1"/>
    <col min="2" max="2" width="16.6640625" style="114" customWidth="1"/>
    <col min="3" max="10" width="16.6640625" style="10" customWidth="1"/>
    <col min="11" max="11" width="9.88671875" style="10" bestFit="1" customWidth="1"/>
    <col min="12" max="35" width="9" style="10" customWidth="1"/>
    <col min="36" max="16384" width="9" style="8"/>
  </cols>
  <sheetData>
    <row r="1" spans="1:30" ht="24.95" customHeight="1">
      <c r="A1" s="262" t="s">
        <v>695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30" ht="15" customHeight="1">
      <c r="A2" s="11"/>
      <c r="B2" s="111"/>
      <c r="C2" s="75" t="s">
        <v>133</v>
      </c>
      <c r="D2" s="60" t="s">
        <v>133</v>
      </c>
      <c r="E2" s="60" t="s">
        <v>133</v>
      </c>
      <c r="F2" s="60" t="s">
        <v>133</v>
      </c>
      <c r="G2" s="60" t="s">
        <v>133</v>
      </c>
      <c r="H2" s="60"/>
      <c r="I2" s="60"/>
      <c r="J2" s="75" t="s">
        <v>133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0" ht="15" customHeight="1">
      <c r="A3" s="11"/>
      <c r="B3" s="190" t="s">
        <v>412</v>
      </c>
      <c r="C3" s="12" t="s">
        <v>287</v>
      </c>
      <c r="D3" s="60" t="s">
        <v>286</v>
      </c>
      <c r="E3" s="60" t="s">
        <v>290</v>
      </c>
      <c r="F3" s="60" t="s">
        <v>76</v>
      </c>
      <c r="G3" s="60" t="s">
        <v>77</v>
      </c>
      <c r="H3" s="60" t="s">
        <v>288</v>
      </c>
      <c r="I3" s="60" t="s">
        <v>342</v>
      </c>
      <c r="J3" s="12" t="s">
        <v>289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15" customHeight="1">
      <c r="A4" s="11"/>
      <c r="B4" s="111"/>
      <c r="C4" s="75">
        <v>43647</v>
      </c>
      <c r="D4" s="12" t="s">
        <v>133</v>
      </c>
      <c r="E4" s="12" t="s">
        <v>133</v>
      </c>
      <c r="F4" s="12" t="s">
        <v>133</v>
      </c>
      <c r="G4" s="12" t="s">
        <v>133</v>
      </c>
      <c r="H4" s="12"/>
      <c r="I4" s="75" t="s">
        <v>288</v>
      </c>
      <c r="J4" s="75">
        <v>44012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 ht="15" customHeight="1">
      <c r="A5" s="11"/>
      <c r="B5" s="111"/>
      <c r="C5" s="75"/>
      <c r="D5" s="12" t="s">
        <v>133</v>
      </c>
      <c r="E5" s="12"/>
      <c r="F5" s="12"/>
      <c r="G5" s="12" t="s">
        <v>133</v>
      </c>
      <c r="H5" s="12"/>
      <c r="I5" s="12"/>
      <c r="J5" s="75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1:30" ht="15" customHeight="1">
      <c r="A6" s="11"/>
      <c r="B6" s="111"/>
      <c r="C6" s="75"/>
      <c r="D6" s="12"/>
      <c r="E6" s="12"/>
      <c r="F6" s="12"/>
      <c r="G6" s="12"/>
      <c r="H6" s="12"/>
      <c r="I6" s="12"/>
      <c r="J6" s="75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15" customHeight="1">
      <c r="A7" s="7" t="s">
        <v>228</v>
      </c>
      <c r="B7" s="112"/>
      <c r="C7" s="16"/>
      <c r="D7" s="16"/>
      <c r="E7" s="16"/>
      <c r="F7" s="16"/>
      <c r="G7" s="16"/>
      <c r="H7" s="16"/>
      <c r="I7" s="16"/>
      <c r="J7" s="16"/>
    </row>
    <row r="8" spans="1:30" ht="15" customHeight="1">
      <c r="A8" s="52" t="s">
        <v>164</v>
      </c>
      <c r="B8" s="113"/>
      <c r="C8" s="16"/>
      <c r="D8" s="16"/>
      <c r="E8" s="16"/>
      <c r="F8" s="16"/>
      <c r="G8" s="16"/>
      <c r="H8" s="16"/>
      <c r="I8" s="16"/>
      <c r="J8" s="16"/>
    </row>
    <row r="9" spans="1:30" ht="15" customHeight="1">
      <c r="A9" s="1" t="s">
        <v>819</v>
      </c>
      <c r="B9" s="212" t="s">
        <v>814</v>
      </c>
      <c r="C9" s="16">
        <v>-1466.3599999999997</v>
      </c>
      <c r="D9" s="16">
        <v>2880</v>
      </c>
      <c r="E9" s="16">
        <v>-1413.64</v>
      </c>
      <c r="F9" s="16"/>
      <c r="G9" s="16"/>
      <c r="H9" s="16"/>
      <c r="I9" s="16"/>
      <c r="J9" s="16">
        <f>SUM(C9:I9)</f>
        <v>0</v>
      </c>
    </row>
    <row r="10" spans="1:30" ht="15" customHeight="1">
      <c r="A10" s="1" t="s">
        <v>818</v>
      </c>
      <c r="B10" s="212" t="s">
        <v>817</v>
      </c>
      <c r="C10" s="16">
        <v>0</v>
      </c>
      <c r="D10" s="16">
        <v>4820</v>
      </c>
      <c r="E10" s="16">
        <v>-4820</v>
      </c>
      <c r="F10" s="16"/>
      <c r="G10" s="16"/>
      <c r="H10" s="16"/>
      <c r="I10" s="16"/>
      <c r="J10" s="16">
        <f>SUM(C10:I10)</f>
        <v>0</v>
      </c>
    </row>
    <row r="11" spans="1:30" ht="15" customHeight="1">
      <c r="A11" s="1" t="s">
        <v>595</v>
      </c>
      <c r="B11" s="212" t="s">
        <v>413</v>
      </c>
      <c r="C11" s="16">
        <v>0</v>
      </c>
      <c r="D11" s="16">
        <v>2832.4</v>
      </c>
      <c r="E11" s="16">
        <v>-2832.4</v>
      </c>
      <c r="F11" s="16"/>
      <c r="G11" s="16"/>
      <c r="H11" s="16"/>
      <c r="I11" s="16"/>
      <c r="J11" s="16">
        <f>SUM(C11:I11)</f>
        <v>0</v>
      </c>
    </row>
    <row r="12" spans="1:30" ht="15" customHeight="1">
      <c r="A12" s="1" t="s">
        <v>815</v>
      </c>
      <c r="B12" s="212" t="s">
        <v>816</v>
      </c>
      <c r="C12" s="16">
        <v>0.59999999999854481</v>
      </c>
      <c r="D12" s="16">
        <v>17778</v>
      </c>
      <c r="E12" s="16">
        <v>-17778</v>
      </c>
      <c r="F12" s="16"/>
      <c r="G12" s="16"/>
      <c r="H12" s="16"/>
      <c r="I12" s="16"/>
      <c r="J12" s="16">
        <f t="shared" ref="J12:J19" si="0">SUM(C12:I12)</f>
        <v>0.59999999999854481</v>
      </c>
    </row>
    <row r="13" spans="1:30" ht="15" customHeight="1">
      <c r="A13" s="1" t="s">
        <v>868</v>
      </c>
      <c r="B13" s="212" t="s">
        <v>869</v>
      </c>
      <c r="C13" s="16">
        <v>0</v>
      </c>
      <c r="D13" s="16">
        <v>16666.66</v>
      </c>
      <c r="E13" s="16">
        <v>-16666.66</v>
      </c>
      <c r="F13" s="16"/>
      <c r="G13" s="16"/>
      <c r="H13" s="16"/>
      <c r="I13" s="16"/>
      <c r="J13" s="16">
        <f t="shared" si="0"/>
        <v>0</v>
      </c>
    </row>
    <row r="14" spans="1:30" ht="15" customHeight="1">
      <c r="A14" s="1" t="s">
        <v>820</v>
      </c>
      <c r="B14" s="212" t="s">
        <v>821</v>
      </c>
      <c r="C14" s="16">
        <v>-1.9999999996798579E-2</v>
      </c>
      <c r="D14" s="16">
        <v>114733.43</v>
      </c>
      <c r="E14" s="16">
        <v>-114733.47</v>
      </c>
      <c r="F14" s="16"/>
      <c r="G14" s="16"/>
      <c r="H14" s="16"/>
      <c r="I14" s="16"/>
      <c r="J14" s="16">
        <f t="shared" si="0"/>
        <v>-5.9999999997671694E-2</v>
      </c>
    </row>
    <row r="15" spans="1:30" ht="15" customHeight="1">
      <c r="A15" s="1" t="s">
        <v>872</v>
      </c>
      <c r="B15" s="212" t="s">
        <v>873</v>
      </c>
      <c r="C15" s="16">
        <v>0</v>
      </c>
      <c r="D15" s="16">
        <v>11687.97</v>
      </c>
      <c r="E15" s="16">
        <v>-2227.7199999999998</v>
      </c>
      <c r="F15" s="16"/>
      <c r="G15" s="16"/>
      <c r="H15" s="16"/>
      <c r="I15" s="16"/>
      <c r="J15" s="16">
        <f t="shared" si="0"/>
        <v>9460.25</v>
      </c>
    </row>
    <row r="16" spans="1:30" ht="15" customHeight="1">
      <c r="A16" s="1" t="s">
        <v>874</v>
      </c>
      <c r="B16" s="212" t="s">
        <v>875</v>
      </c>
      <c r="C16" s="16">
        <v>0</v>
      </c>
      <c r="D16" s="16">
        <v>0</v>
      </c>
      <c r="E16" s="16">
        <v>-16843.810000000001</v>
      </c>
      <c r="F16" s="16"/>
      <c r="G16" s="16"/>
      <c r="H16" s="16"/>
      <c r="I16" s="16"/>
      <c r="J16" s="16">
        <f t="shared" si="0"/>
        <v>-16843.810000000001</v>
      </c>
    </row>
    <row r="17" spans="1:10" ht="15" customHeight="1">
      <c r="A17" s="1" t="s">
        <v>876</v>
      </c>
      <c r="B17" s="212" t="s">
        <v>877</v>
      </c>
      <c r="C17" s="16">
        <v>0</v>
      </c>
      <c r="D17" s="16">
        <v>168334</v>
      </c>
      <c r="E17" s="16">
        <v>-5533.94</v>
      </c>
      <c r="F17" s="16"/>
      <c r="G17" s="16"/>
      <c r="H17" s="16"/>
      <c r="I17" s="16"/>
      <c r="J17" s="16">
        <f t="shared" si="0"/>
        <v>162800.06</v>
      </c>
    </row>
    <row r="18" spans="1:10" ht="15" customHeight="1">
      <c r="A18" s="1" t="s">
        <v>870</v>
      </c>
      <c r="B18" s="212" t="s">
        <v>871</v>
      </c>
      <c r="C18" s="16">
        <v>0</v>
      </c>
      <c r="D18" s="16">
        <v>2900</v>
      </c>
      <c r="E18" s="16">
        <v>-2900</v>
      </c>
      <c r="F18" s="16"/>
      <c r="G18" s="16"/>
      <c r="H18" s="16"/>
      <c r="I18" s="16"/>
      <c r="J18" s="16">
        <f t="shared" si="0"/>
        <v>0</v>
      </c>
    </row>
    <row r="19" spans="1:10" ht="15" customHeight="1">
      <c r="A19" s="1" t="s">
        <v>822</v>
      </c>
      <c r="B19" s="212" t="s">
        <v>823</v>
      </c>
      <c r="C19" s="16">
        <v>-8542.0400000000009</v>
      </c>
      <c r="D19" s="16">
        <v>8542.0400000000009</v>
      </c>
      <c r="E19" s="16"/>
      <c r="F19" s="16"/>
      <c r="G19" s="16"/>
      <c r="H19" s="16"/>
      <c r="I19" s="16"/>
      <c r="J19" s="16">
        <f t="shared" si="0"/>
        <v>0</v>
      </c>
    </row>
    <row r="20" spans="1:10" ht="15" customHeight="1">
      <c r="A20" s="8" t="s">
        <v>236</v>
      </c>
      <c r="B20" s="111"/>
      <c r="C20" s="51">
        <f t="shared" ref="C20:J20" si="1">SUM(C9:C19)</f>
        <v>-10007.82</v>
      </c>
      <c r="D20" s="51">
        <f t="shared" si="1"/>
        <v>351174.49999999994</v>
      </c>
      <c r="E20" s="51">
        <f t="shared" si="1"/>
        <v>-185749.63999999998</v>
      </c>
      <c r="F20" s="51">
        <f t="shared" si="1"/>
        <v>0</v>
      </c>
      <c r="G20" s="51">
        <f t="shared" si="1"/>
        <v>0</v>
      </c>
      <c r="H20" s="51">
        <f t="shared" si="1"/>
        <v>0</v>
      </c>
      <c r="I20" s="51">
        <f t="shared" si="1"/>
        <v>0</v>
      </c>
      <c r="J20" s="51">
        <f t="shared" si="1"/>
        <v>155417.04</v>
      </c>
    </row>
    <row r="21" spans="1:10" ht="15" customHeight="1">
      <c r="B21" s="111"/>
      <c r="C21" s="16"/>
      <c r="D21" s="16"/>
      <c r="E21" s="16"/>
      <c r="F21" s="16"/>
      <c r="G21" s="16"/>
      <c r="H21" s="16"/>
      <c r="I21" s="16"/>
      <c r="J21" s="16"/>
    </row>
    <row r="22" spans="1:10" ht="15" customHeight="1">
      <c r="A22" s="52" t="s">
        <v>92</v>
      </c>
      <c r="B22" s="113"/>
      <c r="C22" s="16"/>
      <c r="D22" s="16"/>
      <c r="E22" s="16"/>
      <c r="F22" s="16"/>
      <c r="G22" s="16"/>
      <c r="H22" s="16"/>
      <c r="I22" s="16"/>
      <c r="J22" s="16"/>
    </row>
    <row r="23" spans="1:10" ht="15" customHeight="1">
      <c r="B23" s="111"/>
      <c r="C23" s="30">
        <v>0</v>
      </c>
      <c r="D23" s="30"/>
      <c r="E23" s="30"/>
      <c r="F23" s="30" t="s">
        <v>133</v>
      </c>
      <c r="G23" s="30"/>
      <c r="H23" s="30"/>
      <c r="I23" s="30"/>
      <c r="J23" s="30">
        <f>SUM(C23:I23)</f>
        <v>0</v>
      </c>
    </row>
    <row r="24" spans="1:10" ht="15" customHeight="1">
      <c r="A24" s="8" t="s">
        <v>95</v>
      </c>
      <c r="B24" s="111"/>
      <c r="C24" s="16">
        <f t="shared" ref="C24:J24" si="2">SUM(C23:C23)</f>
        <v>0</v>
      </c>
      <c r="D24" s="16">
        <f t="shared" si="2"/>
        <v>0</v>
      </c>
      <c r="E24" s="16">
        <f t="shared" si="2"/>
        <v>0</v>
      </c>
      <c r="F24" s="16">
        <f t="shared" si="2"/>
        <v>0</v>
      </c>
      <c r="G24" s="16">
        <f t="shared" si="2"/>
        <v>0</v>
      </c>
      <c r="H24" s="16">
        <f t="shared" si="2"/>
        <v>0</v>
      </c>
      <c r="I24" s="16">
        <f t="shared" si="2"/>
        <v>0</v>
      </c>
      <c r="J24" s="16">
        <f t="shared" si="2"/>
        <v>0</v>
      </c>
    </row>
    <row r="25" spans="1:10" ht="15" customHeight="1">
      <c r="B25" s="111"/>
      <c r="C25" s="16"/>
      <c r="D25" s="16"/>
      <c r="E25" s="16"/>
      <c r="F25" s="16"/>
      <c r="G25" s="16"/>
      <c r="H25" s="16"/>
      <c r="I25" s="16"/>
      <c r="J25" s="16"/>
    </row>
    <row r="26" spans="1:10" ht="15" customHeight="1">
      <c r="A26" s="52" t="s">
        <v>172</v>
      </c>
      <c r="B26" s="113"/>
      <c r="C26" s="16"/>
      <c r="D26" s="16"/>
      <c r="E26" s="16"/>
      <c r="F26" s="16" t="s">
        <v>133</v>
      </c>
      <c r="G26" s="16"/>
      <c r="H26" s="16"/>
      <c r="I26" s="16"/>
      <c r="J26" s="16"/>
    </row>
    <row r="27" spans="1:10" ht="15" customHeight="1">
      <c r="B27" s="111"/>
      <c r="C27" s="30"/>
      <c r="D27" s="30"/>
      <c r="E27" s="30"/>
      <c r="F27" s="30" t="s">
        <v>133</v>
      </c>
      <c r="G27" s="30"/>
      <c r="H27" s="30"/>
      <c r="I27" s="30"/>
      <c r="J27" s="30">
        <f>SUM(C27:I27)</f>
        <v>0</v>
      </c>
    </row>
    <row r="28" spans="1:10" ht="15" customHeight="1">
      <c r="A28" s="8" t="s">
        <v>238</v>
      </c>
      <c r="B28" s="111"/>
      <c r="C28" s="16">
        <f t="shared" ref="C28:J28" si="3">SUM(C27:C27)</f>
        <v>0</v>
      </c>
      <c r="D28" s="16">
        <f t="shared" si="3"/>
        <v>0</v>
      </c>
      <c r="E28" s="16">
        <f t="shared" si="3"/>
        <v>0</v>
      </c>
      <c r="F28" s="16">
        <f t="shared" si="3"/>
        <v>0</v>
      </c>
      <c r="G28" s="16">
        <f t="shared" si="3"/>
        <v>0</v>
      </c>
      <c r="H28" s="16">
        <f t="shared" si="3"/>
        <v>0</v>
      </c>
      <c r="I28" s="16">
        <f t="shared" si="3"/>
        <v>0</v>
      </c>
      <c r="J28" s="16">
        <f t="shared" si="3"/>
        <v>0</v>
      </c>
    </row>
    <row r="29" spans="1:10" ht="15" customHeight="1">
      <c r="B29" s="111"/>
      <c r="C29" s="16"/>
      <c r="D29" s="16"/>
      <c r="E29" s="16"/>
      <c r="F29" s="16"/>
      <c r="G29" s="16"/>
      <c r="H29" s="16"/>
      <c r="I29" s="16"/>
      <c r="J29" s="16"/>
    </row>
    <row r="30" spans="1:10" ht="15" customHeight="1">
      <c r="A30" s="52" t="s">
        <v>93</v>
      </c>
      <c r="B30" s="113"/>
      <c r="C30" s="16"/>
      <c r="D30" s="16"/>
      <c r="E30" s="16"/>
      <c r="F30" s="16"/>
      <c r="G30" s="16"/>
      <c r="H30" s="16"/>
      <c r="I30" s="16"/>
      <c r="J30" s="16"/>
    </row>
    <row r="31" spans="1:10" ht="15" customHeight="1">
      <c r="B31" s="111"/>
      <c r="C31" s="30">
        <v>0</v>
      </c>
      <c r="D31" s="30"/>
      <c r="E31" s="30"/>
      <c r="F31" s="30" t="s">
        <v>133</v>
      </c>
      <c r="G31" s="30"/>
      <c r="H31" s="30"/>
      <c r="I31" s="30"/>
      <c r="J31" s="30">
        <f>SUM(C31:I31)</f>
        <v>0</v>
      </c>
    </row>
    <row r="32" spans="1:10" ht="15" customHeight="1">
      <c r="A32" s="8" t="s">
        <v>293</v>
      </c>
      <c r="B32" s="111"/>
      <c r="C32" s="16">
        <f t="shared" ref="C32:J32" si="4">SUM(C31:C31)</f>
        <v>0</v>
      </c>
      <c r="D32" s="16">
        <f t="shared" si="4"/>
        <v>0</v>
      </c>
      <c r="E32" s="16">
        <f t="shared" si="4"/>
        <v>0</v>
      </c>
      <c r="F32" s="16">
        <f t="shared" si="4"/>
        <v>0</v>
      </c>
      <c r="G32" s="16">
        <f t="shared" si="4"/>
        <v>0</v>
      </c>
      <c r="H32" s="16">
        <f t="shared" si="4"/>
        <v>0</v>
      </c>
      <c r="I32" s="16">
        <f t="shared" si="4"/>
        <v>0</v>
      </c>
      <c r="J32" s="16">
        <f t="shared" si="4"/>
        <v>0</v>
      </c>
    </row>
    <row r="33" spans="1:11" ht="15" customHeight="1">
      <c r="B33" s="111"/>
      <c r="C33" s="16"/>
      <c r="D33" s="16"/>
      <c r="E33" s="16"/>
      <c r="F33" s="16"/>
      <c r="G33" s="16"/>
      <c r="H33" s="16"/>
      <c r="I33" s="16"/>
      <c r="J33" s="16"/>
    </row>
    <row r="34" spans="1:11" ht="15" customHeight="1">
      <c r="A34" s="52" t="s">
        <v>231</v>
      </c>
      <c r="B34" s="113"/>
      <c r="C34" s="16"/>
      <c r="D34" s="16"/>
      <c r="E34" s="16"/>
      <c r="F34" s="16"/>
      <c r="G34" s="16"/>
      <c r="H34" s="16"/>
      <c r="I34" s="16"/>
      <c r="J34" s="16"/>
    </row>
    <row r="35" spans="1:11" ht="15" customHeight="1">
      <c r="B35" s="111"/>
      <c r="C35" s="30"/>
      <c r="D35" s="30"/>
      <c r="E35" s="30"/>
      <c r="F35" s="30"/>
      <c r="G35" s="30"/>
      <c r="H35" s="30"/>
      <c r="I35" s="30"/>
      <c r="J35" s="30">
        <f>SUM(C35:I35)</f>
        <v>0</v>
      </c>
    </row>
    <row r="36" spans="1:11" ht="15" customHeight="1">
      <c r="A36" s="8" t="s">
        <v>235</v>
      </c>
      <c r="B36" s="111"/>
      <c r="C36" s="30">
        <f t="shared" ref="C36:J36" si="5">SUM(C35:C35)</f>
        <v>0</v>
      </c>
      <c r="D36" s="30">
        <f t="shared" si="5"/>
        <v>0</v>
      </c>
      <c r="E36" s="30">
        <f t="shared" si="5"/>
        <v>0</v>
      </c>
      <c r="F36" s="30">
        <f t="shared" si="5"/>
        <v>0</v>
      </c>
      <c r="G36" s="30">
        <f t="shared" si="5"/>
        <v>0</v>
      </c>
      <c r="H36" s="30">
        <f t="shared" si="5"/>
        <v>0</v>
      </c>
      <c r="I36" s="30">
        <f t="shared" si="5"/>
        <v>0</v>
      </c>
      <c r="J36" s="30">
        <f t="shared" si="5"/>
        <v>0</v>
      </c>
      <c r="K36" s="10" t="s">
        <v>133</v>
      </c>
    </row>
    <row r="37" spans="1:11" ht="15" customHeight="1">
      <c r="B37" s="111"/>
      <c r="C37" s="67"/>
      <c r="D37" s="67"/>
      <c r="E37" s="67"/>
      <c r="F37" s="67"/>
      <c r="G37" s="67"/>
      <c r="H37" s="67"/>
      <c r="I37" s="67"/>
      <c r="J37" s="67"/>
    </row>
    <row r="38" spans="1:11" ht="15" customHeight="1" thickBot="1">
      <c r="A38" s="115" t="s">
        <v>94</v>
      </c>
      <c r="B38" s="111"/>
      <c r="C38" s="91">
        <f>C20+C24+C28+C32+C36</f>
        <v>-10007.82</v>
      </c>
      <c r="D38" s="91">
        <f t="shared" ref="D38:J38" si="6">D20+D24+D28+D32+D36</f>
        <v>351174.49999999994</v>
      </c>
      <c r="E38" s="91">
        <f t="shared" si="6"/>
        <v>-185749.63999999998</v>
      </c>
      <c r="F38" s="91">
        <f t="shared" si="6"/>
        <v>0</v>
      </c>
      <c r="G38" s="91">
        <f t="shared" si="6"/>
        <v>0</v>
      </c>
      <c r="H38" s="91">
        <f t="shared" si="6"/>
        <v>0</v>
      </c>
      <c r="I38" s="91">
        <f t="shared" si="6"/>
        <v>0</v>
      </c>
      <c r="J38" s="91">
        <f t="shared" si="6"/>
        <v>155417.04</v>
      </c>
      <c r="K38" s="169" t="s">
        <v>367</v>
      </c>
    </row>
    <row r="39" spans="1:11" ht="15" customHeight="1" thickTop="1">
      <c r="C39" s="16"/>
      <c r="D39" s="16"/>
      <c r="E39" s="16"/>
      <c r="F39" s="16"/>
      <c r="G39" s="16"/>
      <c r="H39" s="16"/>
      <c r="I39" s="16"/>
      <c r="J39" s="16">
        <f>SUM(C38:I38)</f>
        <v>155417.03999999995</v>
      </c>
    </row>
    <row r="40" spans="1:11" ht="15" customHeight="1">
      <c r="C40" s="16"/>
      <c r="D40" s="16"/>
      <c r="E40" s="16"/>
      <c r="F40" s="16"/>
      <c r="G40" s="16"/>
      <c r="H40" s="16"/>
      <c r="I40" s="16"/>
      <c r="J40" s="16"/>
    </row>
  </sheetData>
  <mergeCells count="1">
    <mergeCell ref="A1:J1"/>
  </mergeCells>
  <phoneticPr fontId="0" type="noConversion"/>
  <pageMargins left="0.21" right="0.21" top="1" bottom="1" header="0.5" footer="0.5"/>
  <pageSetup scale="62" orientation="landscape" r:id="rId1"/>
  <headerFooter alignWithMargins="0"/>
  <ignoredErrors>
    <ignoredError sqref="J19 J11:J12 J9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rgb="FFFFFF00"/>
    <pageSetUpPr fitToPage="1"/>
  </sheetPr>
  <dimension ref="A1:AI69"/>
  <sheetViews>
    <sheetView zoomScaleNormal="100" workbookViewId="0">
      <selection activeCell="G18" sqref="G18"/>
    </sheetView>
  </sheetViews>
  <sheetFormatPr defaultColWidth="9" defaultRowHeight="15" customHeight="1"/>
  <cols>
    <col min="1" max="1" width="30" style="8" customWidth="1"/>
    <col min="2" max="2" width="16.6640625" style="114" customWidth="1"/>
    <col min="3" max="10" width="16.6640625" style="10" customWidth="1"/>
    <col min="11" max="11" width="9.88671875" style="10" bestFit="1" customWidth="1"/>
    <col min="12" max="35" width="9" style="10" customWidth="1"/>
    <col min="36" max="16384" width="9" style="8"/>
  </cols>
  <sheetData>
    <row r="1" spans="1:30" ht="24.95" customHeight="1">
      <c r="A1" s="262" t="s">
        <v>696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30" ht="15" customHeight="1">
      <c r="A2" s="11"/>
      <c r="B2" s="111"/>
      <c r="C2" s="75" t="s">
        <v>133</v>
      </c>
      <c r="D2" s="60" t="s">
        <v>133</v>
      </c>
      <c r="E2" s="60" t="s">
        <v>133</v>
      </c>
      <c r="F2" s="60" t="s">
        <v>133</v>
      </c>
      <c r="G2" s="60" t="s">
        <v>133</v>
      </c>
      <c r="H2" s="60"/>
      <c r="I2" s="60"/>
      <c r="J2" s="75" t="s">
        <v>133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0" ht="15" customHeight="1">
      <c r="A3" s="11"/>
      <c r="B3" s="190" t="s">
        <v>412</v>
      </c>
      <c r="C3" s="12" t="s">
        <v>287</v>
      </c>
      <c r="D3" s="60" t="s">
        <v>286</v>
      </c>
      <c r="E3" s="60" t="s">
        <v>290</v>
      </c>
      <c r="F3" s="60" t="s">
        <v>76</v>
      </c>
      <c r="G3" s="60" t="s">
        <v>77</v>
      </c>
      <c r="H3" s="60" t="s">
        <v>288</v>
      </c>
      <c r="I3" s="60" t="s">
        <v>342</v>
      </c>
      <c r="J3" s="12" t="s">
        <v>289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15" customHeight="1">
      <c r="A4" s="11"/>
      <c r="B4" s="111"/>
      <c r="C4" s="75">
        <v>43647</v>
      </c>
      <c r="D4" s="12" t="s">
        <v>133</v>
      </c>
      <c r="E4" s="12" t="s">
        <v>133</v>
      </c>
      <c r="F4" s="12" t="s">
        <v>133</v>
      </c>
      <c r="G4" s="12" t="s">
        <v>133</v>
      </c>
      <c r="H4" s="12"/>
      <c r="I4" s="75" t="s">
        <v>288</v>
      </c>
      <c r="J4" s="75">
        <v>44012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 ht="15" customHeight="1">
      <c r="A5" s="11"/>
      <c r="B5" s="111"/>
      <c r="C5" s="75"/>
      <c r="D5" s="12" t="s">
        <v>133</v>
      </c>
      <c r="E5" s="12"/>
      <c r="F5" s="12"/>
      <c r="G5" s="12" t="s">
        <v>133</v>
      </c>
      <c r="H5" s="12"/>
      <c r="I5" s="12"/>
      <c r="J5" s="75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1:30" ht="15" customHeight="1">
      <c r="A6" s="11"/>
      <c r="B6" s="111"/>
      <c r="C6" s="75"/>
      <c r="D6" s="12"/>
      <c r="E6" s="12"/>
      <c r="F6" s="12"/>
      <c r="G6" s="12"/>
      <c r="H6" s="12"/>
      <c r="I6" s="12"/>
      <c r="J6" s="75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15" customHeight="1">
      <c r="A7" s="7" t="s">
        <v>229</v>
      </c>
      <c r="B7" s="112"/>
      <c r="C7" s="16"/>
      <c r="D7" s="16"/>
      <c r="E7" s="16"/>
      <c r="F7" s="16"/>
      <c r="G7" s="16"/>
      <c r="H7" s="16"/>
      <c r="I7" s="16"/>
      <c r="J7" s="16"/>
    </row>
    <row r="8" spans="1:30" ht="15" customHeight="1">
      <c r="A8" s="52" t="s">
        <v>155</v>
      </c>
      <c r="B8" s="113"/>
      <c r="C8" s="16"/>
      <c r="D8" s="16"/>
      <c r="E8" s="16"/>
      <c r="F8" s="16" t="s">
        <v>133</v>
      </c>
      <c r="G8" s="16"/>
      <c r="H8" s="16"/>
      <c r="I8" s="16"/>
      <c r="J8" s="16"/>
    </row>
    <row r="9" spans="1:30" ht="15" customHeight="1">
      <c r="A9" s="87" t="s">
        <v>849</v>
      </c>
      <c r="B9" s="190" t="s">
        <v>850</v>
      </c>
      <c r="C9" s="67">
        <v>0</v>
      </c>
      <c r="D9" s="67">
        <v>166000</v>
      </c>
      <c r="E9" s="67"/>
      <c r="F9" s="148"/>
      <c r="G9" s="67"/>
      <c r="H9" s="67"/>
      <c r="I9" s="67"/>
      <c r="J9" s="67">
        <f>SUM(C9:I9)</f>
        <v>166000</v>
      </c>
    </row>
    <row r="10" spans="1:30" ht="15" customHeight="1">
      <c r="A10" s="87" t="s">
        <v>782</v>
      </c>
      <c r="B10" s="190" t="s">
        <v>783</v>
      </c>
      <c r="C10" s="67">
        <v>5199.42</v>
      </c>
      <c r="D10" s="67">
        <v>4800.58</v>
      </c>
      <c r="E10" s="67"/>
      <c r="F10" s="148"/>
      <c r="G10" s="67"/>
      <c r="H10" s="67"/>
      <c r="I10" s="67"/>
      <c r="J10" s="67">
        <f t="shared" ref="J10:J11" si="0">SUM(C10:I10)</f>
        <v>10000</v>
      </c>
    </row>
    <row r="11" spans="1:30" ht="15" customHeight="1">
      <c r="A11" s="87" t="s">
        <v>784</v>
      </c>
      <c r="B11" s="190" t="s">
        <v>785</v>
      </c>
      <c r="C11" s="67">
        <v>10212.530000000001</v>
      </c>
      <c r="D11" s="67"/>
      <c r="E11" s="67">
        <v>-2768.6</v>
      </c>
      <c r="F11" s="148"/>
      <c r="G11" s="67"/>
      <c r="H11" s="67"/>
      <c r="I11" s="67"/>
      <c r="J11" s="67">
        <f t="shared" si="0"/>
        <v>7443.93</v>
      </c>
    </row>
    <row r="12" spans="1:30" ht="15" customHeight="1">
      <c r="B12" s="190"/>
      <c r="C12" s="67">
        <v>0</v>
      </c>
      <c r="D12" s="67"/>
      <c r="E12" s="67"/>
      <c r="F12" s="67"/>
      <c r="G12" s="67"/>
      <c r="H12" s="67"/>
      <c r="I12" s="67"/>
      <c r="J12" s="67">
        <f>SUM(C12:I12)</f>
        <v>0</v>
      </c>
    </row>
    <row r="13" spans="1:30" ht="15" customHeight="1">
      <c r="A13" s="8" t="s">
        <v>292</v>
      </c>
      <c r="B13" s="111"/>
      <c r="C13" s="51">
        <f t="shared" ref="C13:J13" si="1">SUM(C9:C12)</f>
        <v>15411.95</v>
      </c>
      <c r="D13" s="51">
        <f t="shared" si="1"/>
        <v>170800.58</v>
      </c>
      <c r="E13" s="51">
        <f t="shared" si="1"/>
        <v>-2768.6</v>
      </c>
      <c r="F13" s="51">
        <f t="shared" si="1"/>
        <v>0</v>
      </c>
      <c r="G13" s="51">
        <f t="shared" si="1"/>
        <v>0</v>
      </c>
      <c r="H13" s="51">
        <f t="shared" si="1"/>
        <v>0</v>
      </c>
      <c r="I13" s="51">
        <f t="shared" si="1"/>
        <v>0</v>
      </c>
      <c r="J13" s="51">
        <f t="shared" si="1"/>
        <v>183443.93</v>
      </c>
    </row>
    <row r="14" spans="1:30" ht="15" customHeight="1">
      <c r="A14" s="7"/>
      <c r="B14" s="112"/>
      <c r="C14" s="16"/>
      <c r="D14" s="16"/>
      <c r="E14" s="16"/>
      <c r="F14" s="16"/>
      <c r="G14" s="16"/>
      <c r="H14" s="16"/>
      <c r="I14" s="16"/>
      <c r="J14" s="16"/>
    </row>
    <row r="15" spans="1:30" ht="15" customHeight="1">
      <c r="A15" s="52" t="s">
        <v>164</v>
      </c>
      <c r="B15" s="113"/>
      <c r="C15" s="16"/>
      <c r="D15" s="16"/>
      <c r="E15" s="16"/>
      <c r="F15" s="16"/>
      <c r="G15" s="16"/>
      <c r="H15" s="16"/>
      <c r="I15" s="16"/>
      <c r="J15" s="16"/>
    </row>
    <row r="16" spans="1:30" ht="15" customHeight="1">
      <c r="A16" t="s">
        <v>812</v>
      </c>
      <c r="B16" s="190" t="s">
        <v>813</v>
      </c>
      <c r="C16" s="16">
        <v>-6787.99</v>
      </c>
      <c r="D16" s="16">
        <f>3570.7</f>
        <v>3570.7</v>
      </c>
      <c r="E16" s="16"/>
      <c r="F16" s="16">
        <v>3217.29</v>
      </c>
      <c r="G16" s="16"/>
      <c r="H16" s="16"/>
      <c r="I16" s="16"/>
      <c r="J16" s="16">
        <f t="shared" ref="J16" si="2">SUM(C16:I16)</f>
        <v>0</v>
      </c>
    </row>
    <row r="17" spans="1:35" s="76" customFormat="1" ht="15" customHeight="1">
      <c r="A17" s="73" t="s">
        <v>755</v>
      </c>
      <c r="B17" s="192" t="s">
        <v>756</v>
      </c>
      <c r="C17" s="70">
        <v>-1.0000000000218279E-2</v>
      </c>
      <c r="D17" s="70"/>
      <c r="E17" s="70"/>
      <c r="F17" s="70"/>
      <c r="G17" s="70"/>
      <c r="H17" s="70"/>
      <c r="I17" s="70"/>
      <c r="J17" s="70">
        <f>SUM(C17:I17)</f>
        <v>-1.0000000000218279E-2</v>
      </c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</row>
    <row r="18" spans="1:35" s="76" customFormat="1" ht="15" customHeight="1">
      <c r="A18" s="73" t="s">
        <v>851</v>
      </c>
      <c r="B18" s="192" t="s">
        <v>852</v>
      </c>
      <c r="C18" s="70">
        <v>0</v>
      </c>
      <c r="D18" s="70"/>
      <c r="E18" s="70">
        <v>-7828.56</v>
      </c>
      <c r="F18" s="70"/>
      <c r="G18" s="70"/>
      <c r="H18" s="70"/>
      <c r="I18" s="70"/>
      <c r="J18" s="70">
        <f>SUM(C18:I18)</f>
        <v>-7828.56</v>
      </c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</row>
    <row r="19" spans="1:35" ht="15" customHeight="1">
      <c r="A19" t="s">
        <v>778</v>
      </c>
      <c r="B19" s="190" t="s">
        <v>779</v>
      </c>
      <c r="C19" s="16">
        <v>0</v>
      </c>
      <c r="D19" s="16"/>
      <c r="E19" s="16"/>
      <c r="F19" s="16"/>
      <c r="G19" s="16"/>
      <c r="H19" s="16"/>
      <c r="I19" s="16"/>
      <c r="J19" s="70">
        <f>SUM(C19:I19)</f>
        <v>0</v>
      </c>
    </row>
    <row r="20" spans="1:35" ht="15" customHeight="1">
      <c r="A20" t="s">
        <v>806</v>
      </c>
      <c r="B20" s="190" t="s">
        <v>807</v>
      </c>
      <c r="C20" s="16">
        <v>-1.0000000002037268E-2</v>
      </c>
      <c r="D20" s="16"/>
      <c r="E20" s="16"/>
      <c r="F20" s="16"/>
      <c r="G20" s="16"/>
      <c r="H20" s="16"/>
      <c r="I20" s="16"/>
      <c r="J20" s="16">
        <f t="shared" ref="J20:J23" si="3">SUM(C20:I20)</f>
        <v>-1.0000000002037268E-2</v>
      </c>
    </row>
    <row r="21" spans="1:35" ht="15" customHeight="1">
      <c r="A21" t="s">
        <v>853</v>
      </c>
      <c r="B21" s="190" t="s">
        <v>854</v>
      </c>
      <c r="C21" s="16">
        <v>0</v>
      </c>
      <c r="D21" s="16">
        <v>39532.57</v>
      </c>
      <c r="E21" s="16">
        <v>-40351.550000000003</v>
      </c>
      <c r="F21" s="16"/>
      <c r="G21" s="16"/>
      <c r="H21" s="16"/>
      <c r="I21" s="16"/>
      <c r="J21" s="16">
        <f>SUM(C21:I21)</f>
        <v>-818.9800000000032</v>
      </c>
    </row>
    <row r="22" spans="1:35" ht="15" customHeight="1">
      <c r="A22" t="s">
        <v>348</v>
      </c>
      <c r="B22" s="190" t="s">
        <v>414</v>
      </c>
      <c r="C22" s="16">
        <v>0</v>
      </c>
      <c r="D22" s="16">
        <v>25860.44</v>
      </c>
      <c r="E22" s="16">
        <v>-25860.44</v>
      </c>
      <c r="F22" s="16"/>
      <c r="G22" s="16"/>
      <c r="H22" s="16"/>
      <c r="I22" s="16"/>
      <c r="J22" s="16">
        <f t="shared" si="3"/>
        <v>0</v>
      </c>
    </row>
    <row r="23" spans="1:35" ht="15" customHeight="1">
      <c r="A23" t="s">
        <v>857</v>
      </c>
      <c r="B23" s="190" t="s">
        <v>858</v>
      </c>
      <c r="C23" s="16">
        <v>0</v>
      </c>
      <c r="D23" s="16">
        <v>2784</v>
      </c>
      <c r="E23" s="16">
        <v>-2784</v>
      </c>
      <c r="F23" s="16"/>
      <c r="G23" s="16"/>
      <c r="H23" s="16"/>
      <c r="I23" s="16"/>
      <c r="J23" s="16">
        <f t="shared" si="3"/>
        <v>0</v>
      </c>
    </row>
    <row r="24" spans="1:35" ht="15" customHeight="1">
      <c r="A24" s="87" t="s">
        <v>856</v>
      </c>
      <c r="B24" s="190" t="s">
        <v>855</v>
      </c>
      <c r="C24" s="16">
        <v>0</v>
      </c>
      <c r="D24" s="16">
        <v>6313</v>
      </c>
      <c r="E24" s="16"/>
      <c r="F24" s="16"/>
      <c r="G24" s="16"/>
      <c r="H24" s="16"/>
      <c r="I24" s="16"/>
      <c r="J24" s="16">
        <f>SUM(C24:I24)</f>
        <v>6313</v>
      </c>
    </row>
    <row r="25" spans="1:35" ht="15" customHeight="1">
      <c r="A25" s="87" t="s">
        <v>808</v>
      </c>
      <c r="B25" s="190" t="s">
        <v>809</v>
      </c>
      <c r="C25" s="16">
        <v>4393.3999999999996</v>
      </c>
      <c r="D25" s="16"/>
      <c r="E25" s="16">
        <v>-4393.3999999999996</v>
      </c>
      <c r="F25" s="16"/>
      <c r="G25" s="16"/>
      <c r="H25" s="16"/>
      <c r="I25" s="16"/>
      <c r="J25" s="16">
        <f>SUM(C25:I25)</f>
        <v>0</v>
      </c>
    </row>
    <row r="26" spans="1:35" ht="15" customHeight="1">
      <c r="A26" s="8" t="s">
        <v>236</v>
      </c>
      <c r="B26" s="116"/>
      <c r="C26" s="51">
        <f t="shared" ref="C26:J26" si="4">SUM(C16:C25)</f>
        <v>-2394.6100000000024</v>
      </c>
      <c r="D26" s="51">
        <f t="shared" si="4"/>
        <v>78060.709999999992</v>
      </c>
      <c r="E26" s="51">
        <f t="shared" si="4"/>
        <v>-81217.95</v>
      </c>
      <c r="F26" s="51">
        <f t="shared" si="4"/>
        <v>3217.29</v>
      </c>
      <c r="G26" s="51">
        <f t="shared" si="4"/>
        <v>0</v>
      </c>
      <c r="H26" s="51">
        <f t="shared" si="4"/>
        <v>0</v>
      </c>
      <c r="I26" s="51">
        <f t="shared" si="4"/>
        <v>0</v>
      </c>
      <c r="J26" s="51">
        <f t="shared" si="4"/>
        <v>-2334.5600000000049</v>
      </c>
    </row>
    <row r="27" spans="1:35" ht="15" customHeight="1">
      <c r="B27" s="111"/>
      <c r="C27" s="16"/>
      <c r="D27" s="16"/>
      <c r="E27" s="16"/>
      <c r="F27" s="16"/>
      <c r="G27" s="16"/>
      <c r="H27" s="16"/>
      <c r="I27" s="16"/>
      <c r="J27" s="16"/>
    </row>
    <row r="28" spans="1:35" ht="15" customHeight="1">
      <c r="A28" s="52" t="s">
        <v>97</v>
      </c>
      <c r="B28" s="113"/>
      <c r="C28" s="16"/>
      <c r="D28" s="16"/>
      <c r="E28" s="16"/>
      <c r="F28" s="16" t="s">
        <v>133</v>
      </c>
      <c r="G28" s="16"/>
      <c r="H28" s="16"/>
      <c r="I28" s="16"/>
      <c r="J28" s="16"/>
    </row>
    <row r="29" spans="1:35" ht="15" customHeight="1">
      <c r="A29" s="8" t="s">
        <v>109</v>
      </c>
      <c r="B29" s="190" t="s">
        <v>418</v>
      </c>
      <c r="C29" s="30">
        <v>5701.8</v>
      </c>
      <c r="D29" s="30"/>
      <c r="E29" s="30">
        <v>-5040</v>
      </c>
      <c r="F29" s="30" t="s">
        <v>133</v>
      </c>
      <c r="G29" s="30"/>
      <c r="H29" s="30"/>
      <c r="I29" s="30"/>
      <c r="J29" s="30">
        <f>SUM(C29:I29)</f>
        <v>661.80000000000018</v>
      </c>
    </row>
    <row r="30" spans="1:35" ht="15" customHeight="1">
      <c r="A30" s="8" t="s">
        <v>98</v>
      </c>
      <c r="B30" s="111"/>
      <c r="C30" s="16">
        <v>5701.8</v>
      </c>
      <c r="D30" s="16">
        <f t="shared" ref="D30:J30" si="5">SUM(D29:D29)</f>
        <v>0</v>
      </c>
      <c r="E30" s="16">
        <f t="shared" si="5"/>
        <v>-5040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661.80000000000018</v>
      </c>
    </row>
    <row r="31" spans="1:35" ht="15" customHeight="1">
      <c r="B31" s="111"/>
      <c r="C31" s="16"/>
      <c r="D31" s="16"/>
      <c r="E31" s="16"/>
      <c r="F31" s="16"/>
      <c r="G31" s="16"/>
      <c r="H31" s="16"/>
      <c r="I31" s="16"/>
      <c r="J31" s="16"/>
    </row>
    <row r="32" spans="1:35" ht="15" customHeight="1">
      <c r="A32" s="52" t="s">
        <v>167</v>
      </c>
      <c r="B32" s="111"/>
      <c r="C32" s="16"/>
      <c r="D32" s="16"/>
      <c r="E32" s="16"/>
      <c r="F32" s="16"/>
      <c r="G32" s="16"/>
      <c r="H32" s="16"/>
      <c r="I32" s="16"/>
      <c r="J32" s="16"/>
    </row>
    <row r="33" spans="1:35" ht="15" customHeight="1">
      <c r="A33" s="87"/>
      <c r="B33" s="111"/>
      <c r="C33" s="16">
        <v>0</v>
      </c>
      <c r="D33" s="16"/>
      <c r="E33" s="16"/>
      <c r="F33" s="16"/>
      <c r="G33" s="16"/>
      <c r="H33" s="16"/>
      <c r="I33" s="16"/>
      <c r="J33" s="16">
        <f>SUM(C33:I33)</f>
        <v>0</v>
      </c>
    </row>
    <row r="34" spans="1:35" ht="15" customHeight="1">
      <c r="A34" s="8" t="s">
        <v>91</v>
      </c>
      <c r="B34" s="111"/>
      <c r="C34" s="51">
        <v>0</v>
      </c>
      <c r="D34" s="51">
        <f t="shared" ref="D34:J34" si="6">SUM(D33:D33)</f>
        <v>0</v>
      </c>
      <c r="E34" s="51">
        <f t="shared" si="6"/>
        <v>0</v>
      </c>
      <c r="F34" s="51">
        <f t="shared" si="6"/>
        <v>0</v>
      </c>
      <c r="G34" s="51">
        <f t="shared" si="6"/>
        <v>0</v>
      </c>
      <c r="H34" s="51">
        <f t="shared" si="6"/>
        <v>0</v>
      </c>
      <c r="I34" s="51">
        <f t="shared" si="6"/>
        <v>0</v>
      </c>
      <c r="J34" s="51">
        <f t="shared" si="6"/>
        <v>0</v>
      </c>
    </row>
    <row r="35" spans="1:35" ht="15" customHeight="1">
      <c r="B35" s="111"/>
      <c r="C35" s="16"/>
      <c r="D35" s="16"/>
      <c r="E35" s="16"/>
      <c r="F35" s="16"/>
      <c r="G35" s="16"/>
      <c r="H35" s="16"/>
      <c r="I35" s="16"/>
      <c r="J35" s="16"/>
    </row>
    <row r="36" spans="1:35" ht="15" customHeight="1">
      <c r="A36" s="52" t="s">
        <v>230</v>
      </c>
      <c r="B36" s="113"/>
      <c r="C36" s="16"/>
      <c r="D36" s="16"/>
      <c r="E36" s="16"/>
      <c r="F36" s="16"/>
      <c r="G36" s="16"/>
      <c r="H36" s="16"/>
      <c r="I36" s="16"/>
      <c r="J36" s="16"/>
    </row>
    <row r="37" spans="1:35" ht="15" customHeight="1">
      <c r="B37" s="111"/>
      <c r="C37" s="30">
        <v>0</v>
      </c>
      <c r="D37" s="30"/>
      <c r="E37" s="30"/>
      <c r="F37" s="30" t="s">
        <v>133</v>
      </c>
      <c r="G37" s="30"/>
      <c r="H37" s="30"/>
      <c r="I37" s="30"/>
      <c r="J37" s="30">
        <f>SUM(C37:I37)</f>
        <v>0</v>
      </c>
    </row>
    <row r="38" spans="1:35" ht="15" customHeight="1">
      <c r="A38" s="8" t="s">
        <v>237</v>
      </c>
      <c r="B38" s="111"/>
      <c r="C38" s="16">
        <v>0</v>
      </c>
      <c r="D38" s="16">
        <f t="shared" ref="D38:J38" si="7">SUM(D37:D37)</f>
        <v>0</v>
      </c>
      <c r="E38" s="16">
        <f t="shared" si="7"/>
        <v>0</v>
      </c>
      <c r="F38" s="16">
        <f t="shared" si="7"/>
        <v>0</v>
      </c>
      <c r="G38" s="16">
        <f t="shared" si="7"/>
        <v>0</v>
      </c>
      <c r="H38" s="16">
        <f t="shared" si="7"/>
        <v>0</v>
      </c>
      <c r="I38" s="16">
        <f t="shared" si="7"/>
        <v>0</v>
      </c>
      <c r="J38" s="16">
        <f t="shared" si="7"/>
        <v>0</v>
      </c>
    </row>
    <row r="39" spans="1:35" ht="15" customHeight="1">
      <c r="B39" s="111"/>
      <c r="C39" s="16"/>
      <c r="D39" s="16"/>
      <c r="E39" s="16"/>
      <c r="F39" s="16"/>
      <c r="G39" s="16"/>
      <c r="H39" s="16"/>
      <c r="I39" s="16"/>
      <c r="J39" s="16"/>
    </row>
    <row r="40" spans="1:35" ht="15" customHeight="1">
      <c r="A40" s="52" t="s">
        <v>370</v>
      </c>
      <c r="B40" s="113"/>
      <c r="C40" s="16"/>
      <c r="D40" s="16"/>
      <c r="E40" s="16"/>
      <c r="F40" s="16" t="s">
        <v>133</v>
      </c>
      <c r="G40" s="16"/>
      <c r="H40" s="16"/>
      <c r="I40" s="16"/>
      <c r="J40" s="16"/>
    </row>
    <row r="41" spans="1:35" s="87" customFormat="1" ht="15" customHeight="1">
      <c r="A41" s="87" t="s">
        <v>862</v>
      </c>
      <c r="B41" s="248" t="s">
        <v>863</v>
      </c>
      <c r="C41" s="85">
        <v>0</v>
      </c>
      <c r="D41" s="85">
        <v>25000</v>
      </c>
      <c r="E41" s="85">
        <v>-25000</v>
      </c>
      <c r="F41" s="85"/>
      <c r="G41" s="85"/>
      <c r="H41" s="85"/>
      <c r="I41" s="85"/>
      <c r="J41" s="107">
        <f t="shared" ref="J41:J42" si="8">SUM(C41:I41)</f>
        <v>0</v>
      </c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</row>
    <row r="42" spans="1:35" s="87" customFormat="1" ht="15" customHeight="1">
      <c r="A42" s="87" t="s">
        <v>864</v>
      </c>
      <c r="B42" s="248" t="s">
        <v>888</v>
      </c>
      <c r="C42" s="85">
        <v>0</v>
      </c>
      <c r="D42" s="85">
        <v>20000</v>
      </c>
      <c r="E42" s="85">
        <v>-19957.16</v>
      </c>
      <c r="F42" s="85"/>
      <c r="G42" s="85"/>
      <c r="H42" s="85"/>
      <c r="I42" s="85"/>
      <c r="J42" s="107">
        <f t="shared" si="8"/>
        <v>42.840000000000146</v>
      </c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</row>
    <row r="43" spans="1:35" ht="15" customHeight="1">
      <c r="A43" s="76" t="s">
        <v>865</v>
      </c>
      <c r="B43" s="192" t="s">
        <v>861</v>
      </c>
      <c r="C43" s="16">
        <v>0</v>
      </c>
      <c r="D43" s="16">
        <v>21012</v>
      </c>
      <c r="E43" s="16">
        <v>-21012</v>
      </c>
      <c r="F43" s="16"/>
      <c r="G43" s="16"/>
      <c r="H43" s="16"/>
      <c r="I43" s="16"/>
      <c r="J43" s="107">
        <f>SUM(C43:I43)</f>
        <v>0</v>
      </c>
    </row>
    <row r="44" spans="1:35" s="76" customFormat="1" ht="15" customHeight="1">
      <c r="A44" s="73" t="s">
        <v>371</v>
      </c>
      <c r="B44" s="172"/>
      <c r="C44" s="117">
        <f>SUM(C41:C43)</f>
        <v>0</v>
      </c>
      <c r="D44" s="117">
        <f>SUM(D41:D43)</f>
        <v>66012</v>
      </c>
      <c r="E44" s="117">
        <f t="shared" ref="E44:J44" si="9">SUM(E41:E43)</f>
        <v>-65969.16</v>
      </c>
      <c r="F44" s="117">
        <f t="shared" si="9"/>
        <v>0</v>
      </c>
      <c r="G44" s="117">
        <f t="shared" si="9"/>
        <v>0</v>
      </c>
      <c r="H44" s="117">
        <f t="shared" si="9"/>
        <v>0</v>
      </c>
      <c r="I44" s="117">
        <f t="shared" si="9"/>
        <v>0</v>
      </c>
      <c r="J44" s="117">
        <f t="shared" si="9"/>
        <v>42.840000000000146</v>
      </c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</row>
    <row r="45" spans="1:35" s="76" customFormat="1" ht="15" customHeight="1">
      <c r="B45" s="172"/>
      <c r="C45" s="70"/>
      <c r="D45" s="70"/>
      <c r="E45" s="70"/>
      <c r="F45" s="70"/>
      <c r="G45" s="70"/>
      <c r="H45" s="70"/>
      <c r="I45" s="70"/>
      <c r="J45" s="70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</row>
    <row r="46" spans="1:35" s="76" customFormat="1" ht="15" customHeight="1">
      <c r="A46" s="103" t="s">
        <v>172</v>
      </c>
      <c r="B46" s="175"/>
      <c r="C46" s="70"/>
      <c r="D46" s="70"/>
      <c r="E46" s="70"/>
      <c r="F46" s="70" t="s">
        <v>133</v>
      </c>
      <c r="G46" s="70"/>
      <c r="H46" s="70"/>
      <c r="I46" s="70"/>
      <c r="J46" s="70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</row>
    <row r="47" spans="1:35" s="76" customFormat="1" ht="15" customHeight="1">
      <c r="A47" s="76" t="s">
        <v>322</v>
      </c>
      <c r="B47" s="192" t="s">
        <v>416</v>
      </c>
      <c r="C47" s="108">
        <v>4897.0299999999988</v>
      </c>
      <c r="D47" s="108">
        <v>5900</v>
      </c>
      <c r="E47" s="108">
        <v>-3510.75</v>
      </c>
      <c r="F47" s="108" t="s">
        <v>133</v>
      </c>
      <c r="G47" s="108"/>
      <c r="H47" s="108"/>
      <c r="I47" s="108"/>
      <c r="J47" s="108">
        <f>SUM(C47:I47)</f>
        <v>7286.2799999999988</v>
      </c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</row>
    <row r="48" spans="1:35" s="76" customFormat="1" ht="15" customHeight="1">
      <c r="A48" s="76" t="s">
        <v>238</v>
      </c>
      <c r="B48" s="172"/>
      <c r="C48" s="70">
        <f>SUM(C47)</f>
        <v>4897.0299999999988</v>
      </c>
      <c r="D48" s="70">
        <f t="shared" ref="D48:J48" si="10">SUM(D47:D47)</f>
        <v>5900</v>
      </c>
      <c r="E48" s="70">
        <f t="shared" si="10"/>
        <v>-3510.75</v>
      </c>
      <c r="F48" s="70">
        <f t="shared" si="10"/>
        <v>0</v>
      </c>
      <c r="G48" s="70">
        <f t="shared" si="10"/>
        <v>0</v>
      </c>
      <c r="H48" s="70">
        <f t="shared" si="10"/>
        <v>0</v>
      </c>
      <c r="I48" s="70">
        <f t="shared" si="10"/>
        <v>0</v>
      </c>
      <c r="J48" s="70">
        <f t="shared" si="10"/>
        <v>7286.2799999999988</v>
      </c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</row>
    <row r="49" spans="1:35" ht="15" customHeight="1">
      <c r="B49" s="111"/>
      <c r="C49" s="16"/>
      <c r="D49" s="16"/>
      <c r="E49" s="16"/>
      <c r="F49" s="16"/>
      <c r="G49" s="16"/>
      <c r="H49" s="16"/>
      <c r="I49" s="16"/>
      <c r="J49" s="16"/>
    </row>
    <row r="50" spans="1:35" ht="15" customHeight="1">
      <c r="A50" s="52" t="s">
        <v>105</v>
      </c>
      <c r="B50" s="111"/>
      <c r="C50" s="16"/>
      <c r="D50" s="16"/>
      <c r="E50" s="16"/>
      <c r="F50" s="16"/>
      <c r="G50" s="16"/>
      <c r="H50" s="16"/>
      <c r="I50" s="16"/>
      <c r="J50" s="16"/>
    </row>
    <row r="51" spans="1:35" ht="15" customHeight="1">
      <c r="A51" s="87" t="s">
        <v>780</v>
      </c>
      <c r="B51" s="190" t="s">
        <v>781</v>
      </c>
      <c r="C51" s="16">
        <v>3294.8999999999996</v>
      </c>
      <c r="D51" s="16"/>
      <c r="E51" s="16">
        <v>-882.78</v>
      </c>
      <c r="F51" s="16"/>
      <c r="G51" s="16"/>
      <c r="H51" s="16"/>
      <c r="I51" s="16"/>
      <c r="J51" s="16">
        <f>SUM(C51:I51)</f>
        <v>2412.12</v>
      </c>
    </row>
    <row r="52" spans="1:35" ht="15" customHeight="1">
      <c r="A52" s="87" t="s">
        <v>866</v>
      </c>
      <c r="B52" s="190" t="s">
        <v>867</v>
      </c>
      <c r="C52" s="16">
        <v>0</v>
      </c>
      <c r="D52" s="16">
        <v>11266.29</v>
      </c>
      <c r="E52" s="16"/>
      <c r="F52" s="16"/>
      <c r="G52" s="16"/>
      <c r="H52" s="16"/>
      <c r="I52" s="16"/>
      <c r="J52" s="16">
        <f>SUM(C52:I52)</f>
        <v>11266.29</v>
      </c>
    </row>
    <row r="53" spans="1:35" ht="15" customHeight="1">
      <c r="A53" s="87" t="s">
        <v>810</v>
      </c>
      <c r="B53" s="190" t="s">
        <v>811</v>
      </c>
      <c r="C53" s="16">
        <v>10580.23</v>
      </c>
      <c r="D53" s="16"/>
      <c r="E53" s="16"/>
      <c r="F53" s="16"/>
      <c r="G53" s="16"/>
      <c r="H53" s="16"/>
      <c r="I53" s="16"/>
      <c r="J53" s="16">
        <f>SUM(C53:I53)</f>
        <v>10580.23</v>
      </c>
    </row>
    <row r="54" spans="1:35" ht="15" customHeight="1">
      <c r="A54" s="8" t="s">
        <v>106</v>
      </c>
      <c r="B54" s="190" t="s">
        <v>415</v>
      </c>
      <c r="C54" s="16">
        <v>19064.639999999996</v>
      </c>
      <c r="D54" s="16">
        <v>104.34</v>
      </c>
      <c r="E54" s="16"/>
      <c r="F54" s="16"/>
      <c r="G54" s="16"/>
      <c r="H54" s="16"/>
      <c r="I54" s="16"/>
      <c r="J54" s="16">
        <f>SUM(C54:I54)</f>
        <v>19168.979999999996</v>
      </c>
    </row>
    <row r="55" spans="1:35" ht="15" customHeight="1">
      <c r="A55" s="8" t="s">
        <v>107</v>
      </c>
      <c r="B55" s="111"/>
      <c r="C55" s="51">
        <f>SUM(C51:C54)</f>
        <v>32939.769999999997</v>
      </c>
      <c r="D55" s="51">
        <f t="shared" ref="D55:J55" si="11">SUM(D51:D54)</f>
        <v>11370.630000000001</v>
      </c>
      <c r="E55" s="51">
        <f t="shared" si="11"/>
        <v>-882.78</v>
      </c>
      <c r="F55" s="51">
        <f t="shared" si="11"/>
        <v>0</v>
      </c>
      <c r="G55" s="51">
        <f t="shared" si="11"/>
        <v>0</v>
      </c>
      <c r="H55" s="51">
        <f t="shared" si="11"/>
        <v>0</v>
      </c>
      <c r="I55" s="51">
        <f t="shared" si="11"/>
        <v>0</v>
      </c>
      <c r="J55" s="51">
        <f t="shared" si="11"/>
        <v>43427.619999999995</v>
      </c>
    </row>
    <row r="56" spans="1:35" ht="15" customHeight="1">
      <c r="B56" s="111"/>
      <c r="C56" s="16"/>
      <c r="D56" s="16"/>
      <c r="E56" s="16"/>
      <c r="F56" s="16"/>
      <c r="G56" s="16"/>
      <c r="H56" s="16"/>
      <c r="I56" s="16"/>
      <c r="J56" s="16"/>
    </row>
    <row r="57" spans="1:35" ht="15" customHeight="1">
      <c r="A57" s="52" t="s">
        <v>231</v>
      </c>
      <c r="B57" s="113"/>
      <c r="C57" s="16"/>
      <c r="D57" s="16"/>
      <c r="E57" s="16"/>
      <c r="F57" s="16"/>
      <c r="G57" s="16"/>
      <c r="H57" s="16"/>
      <c r="I57" s="16"/>
      <c r="J57" s="16"/>
    </row>
    <row r="58" spans="1:35" s="250" customFormat="1" ht="15" customHeight="1">
      <c r="A58" s="87" t="s">
        <v>859</v>
      </c>
      <c r="B58" s="248" t="s">
        <v>860</v>
      </c>
      <c r="C58" s="85">
        <v>0</v>
      </c>
      <c r="D58" s="85">
        <v>11000</v>
      </c>
      <c r="E58" s="85">
        <v>-10675</v>
      </c>
      <c r="F58" s="251"/>
      <c r="G58" s="251"/>
      <c r="H58" s="251"/>
      <c r="I58" s="251"/>
      <c r="J58" s="67">
        <f>SUM(C58:I58)</f>
        <v>325</v>
      </c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</row>
    <row r="59" spans="1:35" ht="15" customHeight="1">
      <c r="A59" s="87" t="s">
        <v>732</v>
      </c>
      <c r="B59" s="190" t="s">
        <v>757</v>
      </c>
      <c r="C59" s="67">
        <v>4750</v>
      </c>
      <c r="D59" s="67"/>
      <c r="E59" s="67">
        <v>-2182.7600000000002</v>
      </c>
      <c r="F59" s="67"/>
      <c r="G59" s="67"/>
      <c r="H59" s="67"/>
      <c r="I59" s="67"/>
      <c r="J59" s="67">
        <f>SUM(C59:I59)</f>
        <v>2567.2399999999998</v>
      </c>
    </row>
    <row r="60" spans="1:35" ht="15" customHeight="1">
      <c r="A60" s="8" t="s">
        <v>235</v>
      </c>
      <c r="B60" s="111"/>
      <c r="C60" s="51">
        <f>SUM(C58:C59)</f>
        <v>4750</v>
      </c>
      <c r="D60" s="51">
        <f t="shared" ref="D60:J60" si="12">SUM(D58:D59)</f>
        <v>11000</v>
      </c>
      <c r="E60" s="51">
        <f t="shared" si="12"/>
        <v>-12857.76</v>
      </c>
      <c r="F60" s="51">
        <f t="shared" si="12"/>
        <v>0</v>
      </c>
      <c r="G60" s="51">
        <f t="shared" si="12"/>
        <v>0</v>
      </c>
      <c r="H60" s="51">
        <f t="shared" si="12"/>
        <v>0</v>
      </c>
      <c r="I60" s="51">
        <f t="shared" si="12"/>
        <v>0</v>
      </c>
      <c r="J60" s="51">
        <f t="shared" si="12"/>
        <v>2892.24</v>
      </c>
      <c r="K60" s="10" t="s">
        <v>133</v>
      </c>
    </row>
    <row r="61" spans="1:35" ht="15" customHeight="1">
      <c r="B61" s="111"/>
      <c r="C61" s="16"/>
      <c r="D61" s="16"/>
      <c r="E61" s="16"/>
      <c r="F61" s="16"/>
      <c r="G61" s="16"/>
      <c r="H61" s="16"/>
      <c r="I61" s="16"/>
      <c r="J61" s="16"/>
    </row>
    <row r="62" spans="1:35" ht="15" customHeight="1">
      <c r="A62" s="7" t="s">
        <v>246</v>
      </c>
      <c r="B62" s="112"/>
      <c r="C62" s="16"/>
      <c r="D62" s="16"/>
      <c r="E62" s="16"/>
      <c r="F62" s="16"/>
      <c r="G62" s="16"/>
      <c r="H62" s="16"/>
      <c r="I62" s="16"/>
      <c r="J62" s="16"/>
    </row>
    <row r="63" spans="1:35" ht="15" customHeight="1">
      <c r="B63" s="111"/>
      <c r="C63" s="30">
        <v>0</v>
      </c>
      <c r="D63" s="30"/>
      <c r="E63" s="30"/>
      <c r="F63" s="30"/>
      <c r="G63" s="30"/>
      <c r="H63" s="30"/>
      <c r="I63" s="30"/>
      <c r="J63" s="30">
        <f>SUM(C63:I63)</f>
        <v>0</v>
      </c>
    </row>
    <row r="64" spans="1:35" ht="15" customHeight="1">
      <c r="A64" s="50" t="s">
        <v>291</v>
      </c>
      <c r="B64" s="111"/>
      <c r="C64" s="51">
        <f t="shared" ref="C64:J64" si="13">SUM(C63:C63)</f>
        <v>0</v>
      </c>
      <c r="D64" s="51">
        <f t="shared" si="13"/>
        <v>0</v>
      </c>
      <c r="E64" s="51">
        <f t="shared" si="13"/>
        <v>0</v>
      </c>
      <c r="F64" s="51">
        <f t="shared" si="13"/>
        <v>0</v>
      </c>
      <c r="G64" s="51">
        <f t="shared" si="13"/>
        <v>0</v>
      </c>
      <c r="H64" s="51">
        <f t="shared" si="13"/>
        <v>0</v>
      </c>
      <c r="I64" s="51">
        <f t="shared" si="13"/>
        <v>0</v>
      </c>
      <c r="J64" s="51">
        <f t="shared" si="13"/>
        <v>0</v>
      </c>
    </row>
    <row r="65" spans="1:11" ht="15" customHeight="1">
      <c r="B65" s="111"/>
      <c r="C65" s="67"/>
      <c r="D65" s="67"/>
      <c r="E65" s="67"/>
      <c r="F65" s="67"/>
      <c r="G65" s="67"/>
      <c r="H65" s="67"/>
      <c r="I65" s="67"/>
      <c r="J65" s="67"/>
    </row>
    <row r="66" spans="1:11" ht="15" customHeight="1" thickBot="1">
      <c r="A66" s="8" t="s">
        <v>96</v>
      </c>
      <c r="C66" s="91">
        <f t="shared" ref="C66:J66" si="14">+C13+C26+C30+C34+C38+C44+C48+C55+C60+C64</f>
        <v>61305.939999999995</v>
      </c>
      <c r="D66" s="91">
        <f t="shared" si="14"/>
        <v>343143.92</v>
      </c>
      <c r="E66" s="91">
        <f t="shared" si="14"/>
        <v>-172247.00000000003</v>
      </c>
      <c r="F66" s="91">
        <f t="shared" si="14"/>
        <v>3217.29</v>
      </c>
      <c r="G66" s="91">
        <f t="shared" si="14"/>
        <v>0</v>
      </c>
      <c r="H66" s="91">
        <f t="shared" si="14"/>
        <v>0</v>
      </c>
      <c r="I66" s="91">
        <f t="shared" si="14"/>
        <v>0</v>
      </c>
      <c r="J66" s="91">
        <f t="shared" si="14"/>
        <v>235420.14999999997</v>
      </c>
      <c r="K66" s="169" t="s">
        <v>367</v>
      </c>
    </row>
    <row r="67" spans="1:11" ht="15" customHeight="1" thickTop="1">
      <c r="C67" s="16"/>
      <c r="D67" s="16"/>
      <c r="E67" s="16"/>
      <c r="F67" s="16"/>
      <c r="G67" s="16"/>
      <c r="H67" s="16"/>
      <c r="I67" s="16"/>
      <c r="J67" s="16">
        <f>SUM(C66:I66)</f>
        <v>235420.14999999997</v>
      </c>
    </row>
    <row r="68" spans="1:11" ht="15" customHeight="1">
      <c r="C68" s="16"/>
      <c r="D68" s="16"/>
      <c r="E68" s="16"/>
      <c r="F68" s="16"/>
      <c r="G68" s="16"/>
      <c r="H68" s="16"/>
      <c r="I68" s="16"/>
      <c r="J68" s="16"/>
    </row>
    <row r="69" spans="1:11" ht="15" customHeight="1">
      <c r="C69" s="16"/>
      <c r="D69" s="16"/>
      <c r="E69" s="16"/>
      <c r="F69" s="16"/>
      <c r="G69" s="16"/>
      <c r="H69" s="16"/>
      <c r="I69" s="16"/>
      <c r="J69" s="16"/>
    </row>
  </sheetData>
  <mergeCells count="1">
    <mergeCell ref="A1:J1"/>
  </mergeCells>
  <phoneticPr fontId="0" type="noConversion"/>
  <pageMargins left="0.21" right="0.21" top="0.44" bottom="0.39" header="0.38" footer="0.38"/>
  <pageSetup scale="5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>
    <tabColor rgb="FFFFFF00"/>
    <pageSetUpPr fitToPage="1"/>
  </sheetPr>
  <dimension ref="A1:AI29"/>
  <sheetViews>
    <sheetView topLeftCell="A7" zoomScaleNormal="100" workbookViewId="0">
      <selection activeCell="A24" sqref="A24"/>
    </sheetView>
  </sheetViews>
  <sheetFormatPr defaultColWidth="9" defaultRowHeight="15" customHeight="1"/>
  <cols>
    <col min="1" max="1" width="30" style="8" customWidth="1"/>
    <col min="2" max="2" width="16.6640625" style="8" customWidth="1"/>
    <col min="3" max="10" width="16.6640625" style="10" customWidth="1"/>
    <col min="11" max="11" width="9.88671875" style="10" bestFit="1" customWidth="1"/>
    <col min="12" max="35" width="9" style="10" customWidth="1"/>
    <col min="36" max="16384" width="9" style="8"/>
  </cols>
  <sheetData>
    <row r="1" spans="1:35" s="34" customFormat="1" ht="24.95" customHeight="1">
      <c r="A1" s="262" t="s">
        <v>697</v>
      </c>
      <c r="B1" s="259"/>
      <c r="C1" s="259"/>
      <c r="D1" s="259"/>
      <c r="E1" s="259"/>
      <c r="F1" s="259"/>
      <c r="G1" s="259"/>
      <c r="H1" s="259"/>
      <c r="I1" s="259"/>
      <c r="J1" s="259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</row>
    <row r="2" spans="1:35" s="34" customFormat="1" ht="15" customHeight="1">
      <c r="A2" s="35"/>
      <c r="B2" s="35"/>
      <c r="C2" s="36" t="s">
        <v>133</v>
      </c>
      <c r="D2" s="37" t="s">
        <v>133</v>
      </c>
      <c r="E2" s="37" t="s">
        <v>133</v>
      </c>
      <c r="F2" s="37" t="s">
        <v>133</v>
      </c>
      <c r="G2" s="37" t="s">
        <v>133</v>
      </c>
      <c r="H2" s="37" t="s">
        <v>133</v>
      </c>
      <c r="I2" s="37" t="s">
        <v>133</v>
      </c>
      <c r="J2" s="36" t="s">
        <v>133</v>
      </c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3"/>
      <c r="AF2" s="33"/>
      <c r="AG2" s="33"/>
      <c r="AH2" s="33"/>
      <c r="AI2" s="33"/>
    </row>
    <row r="3" spans="1:35" s="34" customFormat="1" ht="15" customHeight="1">
      <c r="A3" s="35"/>
      <c r="B3" s="190" t="s">
        <v>412</v>
      </c>
      <c r="C3" s="38" t="s">
        <v>287</v>
      </c>
      <c r="D3" s="37" t="s">
        <v>286</v>
      </c>
      <c r="E3" s="37" t="s">
        <v>290</v>
      </c>
      <c r="F3" s="37" t="s">
        <v>76</v>
      </c>
      <c r="G3" s="37" t="s">
        <v>77</v>
      </c>
      <c r="H3" s="37" t="s">
        <v>288</v>
      </c>
      <c r="I3" s="60" t="s">
        <v>342</v>
      </c>
      <c r="J3" s="38" t="s">
        <v>289</v>
      </c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3"/>
      <c r="AF3" s="33"/>
      <c r="AG3" s="33"/>
      <c r="AH3" s="33"/>
      <c r="AI3" s="33"/>
    </row>
    <row r="4" spans="1:35" s="34" customFormat="1" ht="15" customHeight="1">
      <c r="A4" s="35"/>
      <c r="B4" s="35"/>
      <c r="C4" s="36">
        <v>43647</v>
      </c>
      <c r="D4" s="38" t="s">
        <v>133</v>
      </c>
      <c r="E4" s="38" t="s">
        <v>133</v>
      </c>
      <c r="F4" s="38" t="s">
        <v>133</v>
      </c>
      <c r="G4" s="38" t="s">
        <v>133</v>
      </c>
      <c r="H4" s="36" t="s">
        <v>133</v>
      </c>
      <c r="I4" s="75" t="s">
        <v>288</v>
      </c>
      <c r="J4" s="36">
        <v>44012</v>
      </c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3"/>
      <c r="AF4" s="33"/>
      <c r="AG4" s="33"/>
      <c r="AH4" s="33"/>
      <c r="AI4" s="33"/>
    </row>
    <row r="5" spans="1:35" s="34" customFormat="1" ht="15" customHeight="1">
      <c r="A5" s="35"/>
      <c r="B5" s="35"/>
      <c r="C5" s="36"/>
      <c r="D5" s="38" t="s">
        <v>133</v>
      </c>
      <c r="E5" s="38"/>
      <c r="F5" s="38"/>
      <c r="G5" s="38" t="s">
        <v>133</v>
      </c>
      <c r="H5" s="38"/>
      <c r="I5" s="38"/>
      <c r="J5" s="36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3"/>
      <c r="AF5" s="33"/>
      <c r="AG5" s="33"/>
      <c r="AH5" s="33"/>
      <c r="AI5" s="33"/>
    </row>
    <row r="6" spans="1:35" s="34" customFormat="1" ht="15" customHeight="1">
      <c r="B6" s="35"/>
      <c r="C6" s="40"/>
      <c r="D6" s="40"/>
      <c r="E6" s="40"/>
      <c r="F6" s="40"/>
      <c r="G6" s="40"/>
      <c r="H6" s="40"/>
      <c r="I6" s="40"/>
      <c r="J6" s="40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</row>
    <row r="7" spans="1:35">
      <c r="A7" s="7" t="s">
        <v>232</v>
      </c>
      <c r="B7" s="57"/>
      <c r="C7" s="16"/>
      <c r="D7" s="16"/>
      <c r="E7" s="16"/>
      <c r="F7" s="16"/>
      <c r="G7" s="16"/>
      <c r="H7" s="16"/>
      <c r="I7" s="16"/>
      <c r="J7" s="16"/>
    </row>
    <row r="8" spans="1:35" s="55" customFormat="1" ht="15" customHeight="1">
      <c r="A8" s="55" t="s">
        <v>324</v>
      </c>
      <c r="B8" s="170" t="s">
        <v>419</v>
      </c>
      <c r="C8" s="62">
        <v>56548.420000000006</v>
      </c>
      <c r="D8" s="62">
        <v>6102.5</v>
      </c>
      <c r="E8" s="62">
        <v>-2511.06</v>
      </c>
      <c r="F8" s="62"/>
      <c r="G8" s="62"/>
      <c r="H8" s="62"/>
      <c r="I8" s="101"/>
      <c r="J8" s="62">
        <f>SUM(C8:I8)</f>
        <v>60139.860000000008</v>
      </c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</row>
    <row r="9" spans="1:35" s="55" customFormat="1" ht="15" customHeight="1">
      <c r="A9" s="87" t="s">
        <v>776</v>
      </c>
      <c r="B9" s="170" t="s">
        <v>777</v>
      </c>
      <c r="C9" s="62">
        <v>256.70000000000005</v>
      </c>
      <c r="D9" s="62">
        <v>269.7</v>
      </c>
      <c r="E9" s="62"/>
      <c r="F9" s="62"/>
      <c r="G9" s="62"/>
      <c r="H9" s="62"/>
      <c r="I9" s="101"/>
      <c r="J9" s="62">
        <f>SUM(C9:I9)</f>
        <v>526.40000000000009</v>
      </c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</row>
    <row r="10" spans="1:35" s="55" customFormat="1" ht="15" customHeight="1">
      <c r="A10" s="87" t="s">
        <v>592</v>
      </c>
      <c r="B10" s="225" t="s">
        <v>593</v>
      </c>
      <c r="C10" s="56">
        <v>173364.52000000002</v>
      </c>
      <c r="D10" s="56">
        <f>28119.68+1454.5</f>
        <v>29574.18</v>
      </c>
      <c r="E10" s="56"/>
      <c r="F10" s="56"/>
      <c r="G10" s="56"/>
      <c r="H10" s="56"/>
      <c r="I10" s="56"/>
      <c r="J10" s="56">
        <f>SUM(C10:I10)</f>
        <v>202938.7</v>
      </c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</row>
    <row r="11" spans="1:35" s="55" customFormat="1" ht="15" customHeight="1">
      <c r="A11" s="87" t="s">
        <v>594</v>
      </c>
      <c r="B11" s="225"/>
      <c r="C11" s="53">
        <f>SUM(C8:C10)</f>
        <v>230169.64</v>
      </c>
      <c r="D11" s="53">
        <f t="shared" ref="D11:J11" si="0">SUM(D8:D10)</f>
        <v>35946.379999999997</v>
      </c>
      <c r="E11" s="53">
        <f t="shared" si="0"/>
        <v>-2511.06</v>
      </c>
      <c r="F11" s="53">
        <f t="shared" si="0"/>
        <v>0</v>
      </c>
      <c r="G11" s="53">
        <f t="shared" si="0"/>
        <v>0</v>
      </c>
      <c r="H11" s="53">
        <f t="shared" si="0"/>
        <v>0</v>
      </c>
      <c r="I11" s="53">
        <f t="shared" si="0"/>
        <v>0</v>
      </c>
      <c r="J11" s="53">
        <f t="shared" si="0"/>
        <v>263604.96000000002</v>
      </c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</row>
    <row r="12" spans="1:35" s="55" customFormat="1" ht="15" customHeight="1">
      <c r="B12" s="59"/>
      <c r="C12" s="53"/>
      <c r="D12" s="53"/>
      <c r="E12" s="53"/>
      <c r="F12" s="53"/>
      <c r="G12" s="53"/>
      <c r="H12" s="53"/>
      <c r="I12" s="53"/>
      <c r="J12" s="53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</row>
    <row r="13" spans="1:35" s="55" customFormat="1" ht="15" customHeight="1">
      <c r="A13" s="52" t="s">
        <v>99</v>
      </c>
      <c r="B13" s="58"/>
      <c r="C13" s="53"/>
      <c r="D13" s="53"/>
      <c r="E13" s="53"/>
      <c r="F13" s="53"/>
      <c r="G13" s="53"/>
      <c r="H13" s="53"/>
      <c r="I13" s="53"/>
      <c r="J13" s="53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</row>
    <row r="14" spans="1:35" s="55" customFormat="1" ht="15" customHeight="1">
      <c r="B14" s="59"/>
      <c r="C14" s="56">
        <v>0</v>
      </c>
      <c r="D14" s="56"/>
      <c r="E14" s="56"/>
      <c r="F14" s="56"/>
      <c r="G14" s="56"/>
      <c r="H14" s="56"/>
      <c r="I14" s="56"/>
      <c r="J14" s="56">
        <f>SUM(C14:I14)</f>
        <v>0</v>
      </c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</row>
    <row r="15" spans="1:35" s="55" customFormat="1" ht="15" customHeight="1">
      <c r="A15" s="55" t="s">
        <v>102</v>
      </c>
      <c r="B15" s="59"/>
      <c r="C15" s="53">
        <f t="shared" ref="C15:J15" si="1">SUM(C14:C14)</f>
        <v>0</v>
      </c>
      <c r="D15" s="53">
        <f t="shared" si="1"/>
        <v>0</v>
      </c>
      <c r="E15" s="53">
        <f t="shared" si="1"/>
        <v>0</v>
      </c>
      <c r="F15" s="53">
        <f t="shared" si="1"/>
        <v>0</v>
      </c>
      <c r="G15" s="53">
        <f t="shared" si="1"/>
        <v>0</v>
      </c>
      <c r="H15" s="53">
        <f t="shared" si="1"/>
        <v>0</v>
      </c>
      <c r="I15" s="53">
        <f t="shared" si="1"/>
        <v>0</v>
      </c>
      <c r="J15" s="53">
        <f t="shared" si="1"/>
        <v>0</v>
      </c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</row>
    <row r="16" spans="1:35" s="55" customFormat="1" ht="15" customHeight="1">
      <c r="B16" s="59"/>
      <c r="C16" s="53"/>
      <c r="D16" s="53"/>
      <c r="E16" s="53"/>
      <c r="F16" s="53"/>
      <c r="G16" s="53"/>
      <c r="H16" s="53"/>
      <c r="I16" s="53"/>
      <c r="J16" s="53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</row>
    <row r="17" spans="1:35" s="55" customFormat="1" ht="15" customHeight="1">
      <c r="A17" s="8" t="s">
        <v>100</v>
      </c>
      <c r="B17" s="170" t="s">
        <v>421</v>
      </c>
      <c r="C17" s="16">
        <v>7266.88</v>
      </c>
      <c r="D17" s="16"/>
      <c r="E17" s="16"/>
      <c r="F17" s="16"/>
      <c r="G17" s="16"/>
      <c r="H17" s="16"/>
      <c r="I17" s="16"/>
      <c r="J17" s="67">
        <f>SUM(C17:I17)</f>
        <v>7266.88</v>
      </c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</row>
    <row r="18" spans="1:35" s="55" customFormat="1" ht="15" customHeight="1">
      <c r="B18" s="59"/>
      <c r="C18" s="62"/>
      <c r="D18" s="62"/>
      <c r="E18" s="62"/>
      <c r="F18" s="62"/>
      <c r="G18" s="62"/>
      <c r="H18" s="62"/>
      <c r="I18" s="62"/>
      <c r="J18" s="62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</row>
    <row r="19" spans="1:35" s="55" customFormat="1" ht="15" customHeight="1">
      <c r="A19" s="55" t="s">
        <v>101</v>
      </c>
      <c r="B19" s="170" t="s">
        <v>420</v>
      </c>
      <c r="C19" s="62">
        <v>8872</v>
      </c>
      <c r="D19" s="62">
        <v>4860</v>
      </c>
      <c r="E19" s="62"/>
      <c r="F19" s="62"/>
      <c r="G19" s="62">
        <v>-3000</v>
      </c>
      <c r="H19" s="62"/>
      <c r="I19" s="62"/>
      <c r="J19" s="67">
        <f>SUM(C19:I19)</f>
        <v>10732</v>
      </c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</row>
    <row r="20" spans="1:35" s="55" customFormat="1" ht="15" customHeight="1">
      <c r="B20" s="59"/>
      <c r="C20" s="53"/>
      <c r="D20" s="53"/>
      <c r="E20" s="53"/>
      <c r="F20" s="53"/>
      <c r="G20" s="53"/>
      <c r="H20" s="53"/>
      <c r="I20" s="53"/>
      <c r="J20" s="53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</row>
    <row r="21" spans="1:35" s="55" customFormat="1" ht="15" customHeight="1">
      <c r="A21" s="52" t="s">
        <v>231</v>
      </c>
      <c r="B21" s="58"/>
      <c r="C21" s="53"/>
      <c r="D21" s="53"/>
      <c r="E21" s="53"/>
      <c r="F21" s="53"/>
      <c r="G21" s="53"/>
      <c r="H21" s="53"/>
      <c r="I21" s="53"/>
      <c r="J21" s="53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</row>
    <row r="22" spans="1:35" s="55" customFormat="1" ht="15" customHeight="1">
      <c r="A22" s="8" t="s">
        <v>250</v>
      </c>
      <c r="B22" s="170" t="s">
        <v>422</v>
      </c>
      <c r="C22" s="16">
        <v>67760.789999999994</v>
      </c>
      <c r="D22" s="16"/>
      <c r="E22" s="16"/>
      <c r="F22" s="16"/>
      <c r="G22" s="16"/>
      <c r="H22" s="16"/>
      <c r="I22" s="16"/>
      <c r="J22" s="67">
        <f>SUM(C22:I22)</f>
        <v>67760.789999999994</v>
      </c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</row>
    <row r="23" spans="1:35" s="55" customFormat="1" ht="15" customHeight="1">
      <c r="A23" s="76" t="s">
        <v>111</v>
      </c>
      <c r="B23" s="193" t="s">
        <v>423</v>
      </c>
      <c r="C23" s="71">
        <v>0</v>
      </c>
      <c r="D23" s="71"/>
      <c r="E23" s="71"/>
      <c r="F23" s="71"/>
      <c r="G23" s="71"/>
      <c r="H23" s="71"/>
      <c r="I23" s="71"/>
      <c r="J23" s="107">
        <f t="shared" ref="J23" si="2">SUM(C23:I23)</f>
        <v>0</v>
      </c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</row>
    <row r="24" spans="1:35" ht="15" customHeight="1">
      <c r="A24" s="8" t="s">
        <v>235</v>
      </c>
      <c r="B24" s="60"/>
      <c r="C24" s="51">
        <f>SUM(C22:C23)</f>
        <v>67760.789999999994</v>
      </c>
      <c r="D24" s="51">
        <f t="shared" ref="D24:J24" si="3">SUM(D22:D23)</f>
        <v>0</v>
      </c>
      <c r="E24" s="51">
        <f t="shared" si="3"/>
        <v>0</v>
      </c>
      <c r="F24" s="51">
        <f t="shared" si="3"/>
        <v>0</v>
      </c>
      <c r="G24" s="51">
        <f t="shared" si="3"/>
        <v>0</v>
      </c>
      <c r="H24" s="51">
        <f t="shared" si="3"/>
        <v>0</v>
      </c>
      <c r="I24" s="51">
        <f t="shared" si="3"/>
        <v>0</v>
      </c>
      <c r="J24" s="51">
        <f t="shared" si="3"/>
        <v>67760.789999999994</v>
      </c>
      <c r="K24" s="10" t="s">
        <v>133</v>
      </c>
    </row>
    <row r="25" spans="1:35" ht="15" customHeight="1">
      <c r="B25" s="60"/>
      <c r="C25" s="67"/>
      <c r="D25" s="67"/>
      <c r="E25" s="67"/>
      <c r="F25" s="67"/>
      <c r="G25" s="67"/>
      <c r="H25" s="67"/>
      <c r="I25" s="67"/>
      <c r="J25" s="67"/>
    </row>
    <row r="26" spans="1:35" ht="15" customHeight="1" thickBot="1">
      <c r="A26" s="8" t="s">
        <v>126</v>
      </c>
      <c r="B26" s="60"/>
      <c r="C26" s="91">
        <f>+C24+C19+C17+C15+C11</f>
        <v>314069.31</v>
      </c>
      <c r="D26" s="91">
        <f t="shared" ref="D26:J26" si="4">+D24+D19+D17+D15+D11</f>
        <v>40806.379999999997</v>
      </c>
      <c r="E26" s="91">
        <f t="shared" si="4"/>
        <v>-2511.06</v>
      </c>
      <c r="F26" s="91">
        <f t="shared" si="4"/>
        <v>0</v>
      </c>
      <c r="G26" s="91">
        <f t="shared" si="4"/>
        <v>-3000</v>
      </c>
      <c r="H26" s="91">
        <f t="shared" si="4"/>
        <v>0</v>
      </c>
      <c r="I26" s="91">
        <f t="shared" si="4"/>
        <v>0</v>
      </c>
      <c r="J26" s="91">
        <f t="shared" si="4"/>
        <v>349364.63</v>
      </c>
      <c r="K26" s="169" t="s">
        <v>367</v>
      </c>
    </row>
    <row r="27" spans="1:35" ht="15" customHeight="1" thickTop="1">
      <c r="C27" s="16"/>
      <c r="D27" s="16"/>
      <c r="E27" s="16"/>
      <c r="F27" s="16"/>
      <c r="G27" s="16"/>
      <c r="H27" s="16"/>
      <c r="I27" s="16"/>
      <c r="J27" s="16">
        <f>SUM(C26:I26)</f>
        <v>349364.63</v>
      </c>
    </row>
    <row r="28" spans="1:35" ht="15" customHeight="1">
      <c r="C28" s="16"/>
      <c r="D28" s="16"/>
      <c r="E28" s="16"/>
      <c r="F28" s="16"/>
      <c r="G28" s="16"/>
      <c r="H28" s="16"/>
      <c r="I28" s="16"/>
      <c r="J28" s="16"/>
    </row>
    <row r="29" spans="1:35" ht="15" customHeight="1">
      <c r="C29" s="16"/>
      <c r="D29" s="16"/>
      <c r="E29" s="16"/>
      <c r="F29" s="16"/>
      <c r="G29" s="16"/>
      <c r="H29" s="16"/>
      <c r="I29" s="16"/>
      <c r="J29" s="16"/>
    </row>
  </sheetData>
  <mergeCells count="1">
    <mergeCell ref="A1:J1"/>
  </mergeCells>
  <phoneticPr fontId="0" type="noConversion"/>
  <pageMargins left="0.21" right="0.21" top="1" bottom="1" header="0.5" footer="0.5"/>
  <pageSetup scale="62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8">
    <tabColor rgb="FFFFFF00"/>
    <pageSetUpPr fitToPage="1"/>
  </sheetPr>
  <dimension ref="A1:AI36"/>
  <sheetViews>
    <sheetView topLeftCell="B1" zoomScaleNormal="100" workbookViewId="0">
      <selection activeCell="J9" sqref="J9"/>
    </sheetView>
  </sheetViews>
  <sheetFormatPr defaultColWidth="9" defaultRowHeight="15" customHeight="1"/>
  <cols>
    <col min="1" max="1" width="30" style="8" customWidth="1"/>
    <col min="2" max="2" width="16.6640625" style="31" customWidth="1"/>
    <col min="3" max="10" width="16.6640625" style="10" customWidth="1"/>
    <col min="11" max="11" width="9.88671875" style="10" bestFit="1" customWidth="1"/>
    <col min="12" max="35" width="9" style="10" customWidth="1"/>
    <col min="36" max="16384" width="9" style="8"/>
  </cols>
  <sheetData>
    <row r="1" spans="1:35" s="34" customFormat="1" ht="24.95" customHeight="1">
      <c r="A1" s="262" t="s">
        <v>698</v>
      </c>
      <c r="B1" s="259"/>
      <c r="C1" s="259"/>
      <c r="D1" s="259"/>
      <c r="E1" s="259"/>
      <c r="F1" s="259"/>
      <c r="G1" s="259"/>
      <c r="H1" s="259"/>
      <c r="I1" s="259"/>
      <c r="J1" s="259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</row>
    <row r="2" spans="1:35" s="34" customFormat="1" ht="15" customHeight="1">
      <c r="A2" s="35"/>
      <c r="B2" s="37"/>
      <c r="C2" s="36" t="s">
        <v>133</v>
      </c>
      <c r="D2" s="37" t="s">
        <v>133</v>
      </c>
      <c r="E2" s="37" t="s">
        <v>133</v>
      </c>
      <c r="F2" s="37" t="s">
        <v>133</v>
      </c>
      <c r="G2" s="37" t="s">
        <v>133</v>
      </c>
      <c r="H2" s="37" t="s">
        <v>133</v>
      </c>
      <c r="I2" s="37" t="s">
        <v>133</v>
      </c>
      <c r="J2" s="36" t="s">
        <v>133</v>
      </c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3"/>
      <c r="AF2" s="33"/>
      <c r="AG2" s="33"/>
      <c r="AH2" s="33"/>
      <c r="AI2" s="33"/>
    </row>
    <row r="3" spans="1:35" s="34" customFormat="1" ht="15" customHeight="1">
      <c r="A3" s="35"/>
      <c r="B3" s="190" t="s">
        <v>412</v>
      </c>
      <c r="C3" s="38" t="s">
        <v>287</v>
      </c>
      <c r="D3" s="37" t="s">
        <v>286</v>
      </c>
      <c r="E3" s="37" t="s">
        <v>290</v>
      </c>
      <c r="F3" s="37" t="s">
        <v>76</v>
      </c>
      <c r="G3" s="37" t="s">
        <v>77</v>
      </c>
      <c r="H3" s="37" t="s">
        <v>288</v>
      </c>
      <c r="I3" s="60" t="s">
        <v>342</v>
      </c>
      <c r="J3" s="38" t="s">
        <v>289</v>
      </c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3"/>
      <c r="AF3" s="33"/>
      <c r="AG3" s="33"/>
      <c r="AH3" s="33"/>
      <c r="AI3" s="33"/>
    </row>
    <row r="4" spans="1:35" s="34" customFormat="1" ht="15" customHeight="1">
      <c r="A4" s="35"/>
      <c r="B4" s="37"/>
      <c r="C4" s="36">
        <v>43647</v>
      </c>
      <c r="D4" s="38" t="s">
        <v>133</v>
      </c>
      <c r="E4" s="38" t="s">
        <v>133</v>
      </c>
      <c r="F4" s="38" t="s">
        <v>133</v>
      </c>
      <c r="G4" s="38" t="s">
        <v>133</v>
      </c>
      <c r="H4" s="36" t="s">
        <v>133</v>
      </c>
      <c r="I4" s="75" t="s">
        <v>288</v>
      </c>
      <c r="J4" s="36">
        <v>44012</v>
      </c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3"/>
      <c r="AF4" s="33"/>
      <c r="AG4" s="33"/>
      <c r="AH4" s="33"/>
      <c r="AI4" s="33"/>
    </row>
    <row r="5" spans="1:35" s="34" customFormat="1" ht="15" customHeight="1">
      <c r="A5" s="35"/>
      <c r="B5" s="37"/>
      <c r="C5" s="36"/>
      <c r="D5" s="38" t="s">
        <v>133</v>
      </c>
      <c r="E5" s="38"/>
      <c r="F5" s="38"/>
      <c r="G5" s="38" t="s">
        <v>133</v>
      </c>
      <c r="H5" s="38"/>
      <c r="I5" s="38"/>
      <c r="J5" s="36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3"/>
      <c r="AF5" s="33"/>
      <c r="AG5" s="33"/>
      <c r="AH5" s="33"/>
      <c r="AI5" s="33"/>
    </row>
    <row r="6" spans="1:35" s="34" customFormat="1" ht="15" customHeight="1">
      <c r="B6" s="41"/>
      <c r="C6" s="40"/>
      <c r="D6" s="40"/>
      <c r="E6" s="40"/>
      <c r="F6" s="40"/>
      <c r="G6" s="40"/>
      <c r="H6" s="40"/>
      <c r="I6" s="40"/>
      <c r="J6" s="40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</row>
    <row r="7" spans="1:35" ht="15" customHeight="1">
      <c r="A7" s="7" t="s">
        <v>233</v>
      </c>
      <c r="B7" s="61"/>
      <c r="C7" s="16"/>
      <c r="D7" s="16"/>
      <c r="E7" s="16"/>
      <c r="F7" s="16"/>
      <c r="G7" s="16"/>
      <c r="H7" s="16"/>
      <c r="I7" s="16"/>
      <c r="J7" s="16"/>
    </row>
    <row r="8" spans="1:35" s="55" customFormat="1" ht="15" customHeight="1">
      <c r="A8" s="103" t="s">
        <v>590</v>
      </c>
      <c r="B8" s="104"/>
      <c r="C8" s="71"/>
      <c r="D8" s="71"/>
      <c r="E8" s="71"/>
      <c r="F8" s="71"/>
      <c r="G8" s="71"/>
      <c r="H8" s="71"/>
      <c r="I8" s="71"/>
      <c r="J8" s="71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</row>
    <row r="9" spans="1:35" s="55" customFormat="1" ht="15" customHeight="1">
      <c r="A9" s="174" t="s">
        <v>110</v>
      </c>
      <c r="B9" s="193" t="s">
        <v>427</v>
      </c>
      <c r="C9" s="71">
        <v>241.56999999999971</v>
      </c>
      <c r="D9" s="71">
        <f>10004.46+1417.45+385.4</f>
        <v>11807.31</v>
      </c>
      <c r="E9" s="71">
        <v>-9388.76</v>
      </c>
      <c r="F9" s="71"/>
      <c r="G9" s="71"/>
      <c r="H9" s="71"/>
      <c r="I9" s="71"/>
      <c r="J9" s="71">
        <f t="shared" ref="J9:J12" si="0">SUM(C9:I9)</f>
        <v>2660.119999999999</v>
      </c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</row>
    <row r="10" spans="1:35" s="55" customFormat="1" ht="15" customHeight="1">
      <c r="A10" s="174" t="s">
        <v>803</v>
      </c>
      <c r="B10" s="193" t="s">
        <v>804</v>
      </c>
      <c r="C10" s="71">
        <v>0</v>
      </c>
      <c r="D10" s="71">
        <v>2808</v>
      </c>
      <c r="E10" s="71">
        <v>-2808</v>
      </c>
      <c r="F10" s="71"/>
      <c r="G10" s="71"/>
      <c r="H10" s="71"/>
      <c r="I10" s="71"/>
      <c r="J10" s="71">
        <f t="shared" si="0"/>
        <v>0</v>
      </c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</row>
    <row r="11" spans="1:35" s="55" customFormat="1" ht="15" customHeight="1">
      <c r="A11" s="174" t="s">
        <v>388</v>
      </c>
      <c r="B11" s="193" t="s">
        <v>438</v>
      </c>
      <c r="C11" s="71">
        <v>215</v>
      </c>
      <c r="D11" s="71"/>
      <c r="E11" s="71"/>
      <c r="F11" s="71"/>
      <c r="G11" s="71"/>
      <c r="H11" s="71"/>
      <c r="I11" s="71"/>
      <c r="J11" s="71">
        <f t="shared" si="0"/>
        <v>215</v>
      </c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</row>
    <row r="12" spans="1:35" s="55" customFormat="1" ht="15" customHeight="1">
      <c r="A12" s="174" t="s">
        <v>591</v>
      </c>
      <c r="B12" s="193" t="s">
        <v>437</v>
      </c>
      <c r="C12" s="71">
        <v>0</v>
      </c>
      <c r="D12" s="71">
        <v>500</v>
      </c>
      <c r="E12" s="71"/>
      <c r="F12" s="71"/>
      <c r="G12" s="71"/>
      <c r="H12" s="71"/>
      <c r="I12" s="71"/>
      <c r="J12" s="71">
        <f t="shared" si="0"/>
        <v>500</v>
      </c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</row>
    <row r="13" spans="1:35" s="55" customFormat="1" ht="15" customHeight="1">
      <c r="A13" s="174" t="s">
        <v>775</v>
      </c>
      <c r="B13" s="100"/>
      <c r="C13" s="105">
        <f t="shared" ref="C13:J13" si="1">SUM(C9:C12)</f>
        <v>456.56999999999971</v>
      </c>
      <c r="D13" s="105">
        <f t="shared" si="1"/>
        <v>15115.31</v>
      </c>
      <c r="E13" s="105">
        <f t="shared" si="1"/>
        <v>-12196.76</v>
      </c>
      <c r="F13" s="105">
        <f t="shared" si="1"/>
        <v>0</v>
      </c>
      <c r="G13" s="105">
        <f t="shared" si="1"/>
        <v>0</v>
      </c>
      <c r="H13" s="105">
        <f t="shared" si="1"/>
        <v>0</v>
      </c>
      <c r="I13" s="105">
        <f t="shared" si="1"/>
        <v>0</v>
      </c>
      <c r="J13" s="105">
        <f t="shared" si="1"/>
        <v>3375.119999999999</v>
      </c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</row>
    <row r="14" spans="1:35" s="55" customFormat="1" ht="15" customHeight="1">
      <c r="A14" s="99"/>
      <c r="B14" s="100"/>
      <c r="C14" s="71"/>
      <c r="D14" s="71"/>
      <c r="E14" s="71"/>
      <c r="F14" s="71"/>
      <c r="G14" s="71"/>
      <c r="H14" s="71"/>
      <c r="I14" s="71"/>
      <c r="J14" s="71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</row>
    <row r="15" spans="1:35" s="55" customFormat="1" ht="15" customHeight="1">
      <c r="A15" s="103" t="s">
        <v>172</v>
      </c>
      <c r="B15" s="106"/>
      <c r="C15" s="71"/>
      <c r="D15" s="71"/>
      <c r="E15" s="71"/>
      <c r="F15" s="71" t="s">
        <v>133</v>
      </c>
      <c r="G15" s="71"/>
      <c r="H15" s="71"/>
      <c r="I15" s="71"/>
      <c r="J15" s="71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</row>
    <row r="16" spans="1:35" s="55" customFormat="1" ht="15" customHeight="1">
      <c r="A16" s="174" t="s">
        <v>387</v>
      </c>
      <c r="B16" s="193" t="s">
        <v>436</v>
      </c>
      <c r="C16" s="71">
        <v>2913.4900000000002</v>
      </c>
      <c r="D16" s="71">
        <f>48.1+3237.5</f>
        <v>3285.6</v>
      </c>
      <c r="E16" s="71">
        <f>-444.32-859.03</f>
        <v>-1303.3499999999999</v>
      </c>
      <c r="F16" s="71"/>
      <c r="G16" s="71"/>
      <c r="H16" s="71"/>
      <c r="I16" s="71"/>
      <c r="J16" s="71">
        <f>SUM(C16:I16)</f>
        <v>4895.74</v>
      </c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</row>
    <row r="17" spans="1:35" s="55" customFormat="1" ht="15" customHeight="1">
      <c r="A17" s="174" t="s">
        <v>238</v>
      </c>
      <c r="B17" s="100"/>
      <c r="C17" s="105">
        <f>SUM(C15:C16)</f>
        <v>2913.4900000000002</v>
      </c>
      <c r="D17" s="105">
        <f t="shared" ref="D17:J17" si="2">SUM(D16:D16)</f>
        <v>3285.6</v>
      </c>
      <c r="E17" s="105">
        <f t="shared" si="2"/>
        <v>-1303.3499999999999</v>
      </c>
      <c r="F17" s="105">
        <f t="shared" si="2"/>
        <v>0</v>
      </c>
      <c r="G17" s="105">
        <f t="shared" si="2"/>
        <v>0</v>
      </c>
      <c r="H17" s="105">
        <f t="shared" si="2"/>
        <v>0</v>
      </c>
      <c r="I17" s="105">
        <f t="shared" si="2"/>
        <v>0</v>
      </c>
      <c r="J17" s="105">
        <f t="shared" si="2"/>
        <v>4895.74</v>
      </c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</row>
    <row r="18" spans="1:35" s="55" customFormat="1" ht="15" customHeight="1">
      <c r="A18" s="99"/>
      <c r="B18" s="100"/>
      <c r="C18" s="71"/>
      <c r="D18" s="71"/>
      <c r="E18" s="71"/>
      <c r="F18" s="71"/>
      <c r="G18" s="71"/>
      <c r="H18" s="71"/>
      <c r="I18" s="71"/>
      <c r="J18" s="71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</row>
    <row r="19" spans="1:35" s="55" customFormat="1" ht="15" customHeight="1">
      <c r="A19" s="103" t="s">
        <v>103</v>
      </c>
      <c r="B19" s="106"/>
      <c r="C19" s="71"/>
      <c r="D19" s="71"/>
      <c r="E19" s="71"/>
      <c r="F19" s="71"/>
      <c r="G19" s="71"/>
      <c r="H19" s="71"/>
      <c r="I19" s="71"/>
      <c r="J19" s="71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</row>
    <row r="20" spans="1:35" s="55" customFormat="1" ht="15" customHeight="1">
      <c r="A20" s="73" t="s">
        <v>434</v>
      </c>
      <c r="B20" s="193" t="s">
        <v>435</v>
      </c>
      <c r="C20" s="71">
        <v>36301.079999999994</v>
      </c>
      <c r="D20" s="71">
        <v>7026</v>
      </c>
      <c r="E20" s="71">
        <f>-3012.94-293.55</f>
        <v>-3306.4900000000002</v>
      </c>
      <c r="F20" s="71"/>
      <c r="G20" s="71"/>
      <c r="H20" s="71"/>
      <c r="I20" s="71"/>
      <c r="J20" s="71">
        <f>SUM(C20:I20)</f>
        <v>40020.589999999997</v>
      </c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</row>
    <row r="21" spans="1:35" s="55" customFormat="1" ht="15" customHeight="1">
      <c r="A21" s="99" t="s">
        <v>343</v>
      </c>
      <c r="B21" s="193" t="s">
        <v>424</v>
      </c>
      <c r="C21" s="71">
        <v>1900</v>
      </c>
      <c r="D21" s="71">
        <v>400</v>
      </c>
      <c r="E21" s="71"/>
      <c r="F21" s="71"/>
      <c r="G21" s="71"/>
      <c r="H21" s="71"/>
      <c r="I21" s="71"/>
      <c r="J21" s="71">
        <f>SUM(C21:I21)</f>
        <v>2300</v>
      </c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</row>
    <row r="22" spans="1:35" s="55" customFormat="1" ht="15" customHeight="1">
      <c r="A22" s="73" t="s">
        <v>428</v>
      </c>
      <c r="B22" s="193" t="s">
        <v>429</v>
      </c>
      <c r="C22" s="71">
        <v>1575.94</v>
      </c>
      <c r="D22" s="71">
        <v>400</v>
      </c>
      <c r="E22" s="71"/>
      <c r="F22" s="71"/>
      <c r="G22" s="71"/>
      <c r="H22" s="71"/>
      <c r="I22" s="71"/>
      <c r="J22" s="107">
        <f t="shared" ref="J22" si="3">SUM(C22:I22)</f>
        <v>1975.94</v>
      </c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</row>
    <row r="23" spans="1:35" s="55" customFormat="1" ht="15" customHeight="1">
      <c r="A23" s="174" t="s">
        <v>774</v>
      </c>
      <c r="B23" s="100"/>
      <c r="C23" s="105">
        <f>SUM(C20:C22)</f>
        <v>39777.019999999997</v>
      </c>
      <c r="D23" s="105">
        <f t="shared" ref="D23:J23" si="4">SUM(D20:D22)</f>
        <v>7826</v>
      </c>
      <c r="E23" s="105">
        <f t="shared" si="4"/>
        <v>-3306.4900000000002</v>
      </c>
      <c r="F23" s="105">
        <f t="shared" si="4"/>
        <v>0</v>
      </c>
      <c r="G23" s="105">
        <f t="shared" si="4"/>
        <v>0</v>
      </c>
      <c r="H23" s="105">
        <f t="shared" si="4"/>
        <v>0</v>
      </c>
      <c r="I23" s="105">
        <f t="shared" si="4"/>
        <v>0</v>
      </c>
      <c r="J23" s="105">
        <f t="shared" si="4"/>
        <v>44296.53</v>
      </c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</row>
    <row r="24" spans="1:35" s="55" customFormat="1" ht="15" customHeight="1">
      <c r="A24" s="99"/>
      <c r="B24" s="100"/>
      <c r="C24" s="71"/>
      <c r="D24" s="71"/>
      <c r="E24" s="71"/>
      <c r="F24" s="71"/>
      <c r="G24" s="71"/>
      <c r="H24" s="71"/>
      <c r="I24" s="71"/>
      <c r="J24" s="71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</row>
    <row r="25" spans="1:35" s="55" customFormat="1" ht="15" customHeight="1">
      <c r="A25" s="103" t="s">
        <v>231</v>
      </c>
      <c r="B25" s="106"/>
      <c r="C25" s="71"/>
      <c r="D25" s="71"/>
      <c r="E25" s="71"/>
      <c r="F25" s="71"/>
      <c r="G25" s="71"/>
      <c r="H25" s="71"/>
      <c r="I25" s="71"/>
      <c r="J25" s="71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</row>
    <row r="26" spans="1:35" s="55" customFormat="1" ht="15" customHeight="1">
      <c r="A26" s="76"/>
      <c r="B26" s="193"/>
      <c r="C26" s="71"/>
      <c r="D26" s="71"/>
      <c r="E26" s="71"/>
      <c r="F26" s="71"/>
      <c r="G26" s="71"/>
      <c r="H26" s="71"/>
      <c r="I26" s="71"/>
      <c r="J26" s="107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</row>
    <row r="27" spans="1:35" s="55" customFormat="1" ht="15" customHeight="1">
      <c r="A27" s="73" t="s">
        <v>430</v>
      </c>
      <c r="B27" s="193" t="s">
        <v>431</v>
      </c>
      <c r="C27" s="71">
        <v>1229.98</v>
      </c>
      <c r="D27" s="71">
        <v>6.75</v>
      </c>
      <c r="E27" s="71"/>
      <c r="F27" s="71"/>
      <c r="G27" s="71"/>
      <c r="H27" s="71"/>
      <c r="I27" s="71"/>
      <c r="J27" s="107">
        <f t="shared" ref="J27:J31" si="5">SUM(C27:I27)</f>
        <v>1236.73</v>
      </c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</row>
    <row r="28" spans="1:35" s="55" customFormat="1" ht="15" customHeight="1">
      <c r="A28" s="73" t="s">
        <v>432</v>
      </c>
      <c r="B28" s="193" t="s">
        <v>433</v>
      </c>
      <c r="C28" s="71">
        <v>58475.82</v>
      </c>
      <c r="D28" s="71">
        <v>320.02</v>
      </c>
      <c r="E28" s="71">
        <v>-1676.32</v>
      </c>
      <c r="F28" s="71"/>
      <c r="G28" s="71"/>
      <c r="H28" s="71"/>
      <c r="I28" s="71"/>
      <c r="J28" s="107">
        <f t="shared" si="5"/>
        <v>57119.519999999997</v>
      </c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</row>
    <row r="29" spans="1:35" s="55" customFormat="1" ht="15" customHeight="1">
      <c r="A29" s="73" t="s">
        <v>772</v>
      </c>
      <c r="B29" s="193" t="s">
        <v>773</v>
      </c>
      <c r="C29" s="71">
        <v>0</v>
      </c>
      <c r="D29" s="71">
        <v>49714.29</v>
      </c>
      <c r="E29" s="71">
        <v>-54000</v>
      </c>
      <c r="F29" s="71"/>
      <c r="G29" s="71"/>
      <c r="H29" s="71"/>
      <c r="I29" s="71"/>
      <c r="J29" s="107">
        <f t="shared" si="5"/>
        <v>-4285.7099999999991</v>
      </c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</row>
    <row r="30" spans="1:35" s="55" customFormat="1" ht="15" customHeight="1">
      <c r="A30" s="69" t="s">
        <v>23</v>
      </c>
      <c r="B30" s="193" t="s">
        <v>426</v>
      </c>
      <c r="C30" s="71">
        <v>27959.269999999993</v>
      </c>
      <c r="D30" s="71">
        <f>249.61+80934.4</f>
        <v>81184.009999999995</v>
      </c>
      <c r="E30" s="71">
        <v>-77412.83</v>
      </c>
      <c r="F30" s="71"/>
      <c r="G30" s="71"/>
      <c r="H30" s="71"/>
      <c r="I30" s="71"/>
      <c r="J30" s="107">
        <f t="shared" si="5"/>
        <v>31730.449999999983</v>
      </c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</row>
    <row r="31" spans="1:35" s="55" customFormat="1" ht="15" customHeight="1">
      <c r="A31" s="69" t="s">
        <v>22</v>
      </c>
      <c r="B31" s="193" t="s">
        <v>425</v>
      </c>
      <c r="C31" s="71">
        <v>9149.1500000000015</v>
      </c>
      <c r="D31" s="71">
        <f>35.68+961.52</f>
        <v>997.19999999999993</v>
      </c>
      <c r="E31" s="71">
        <f>-3968.75-3678.38</f>
        <v>-7647.13</v>
      </c>
      <c r="F31" s="71"/>
      <c r="G31" s="71"/>
      <c r="H31" s="71"/>
      <c r="I31" s="71"/>
      <c r="J31" s="107">
        <f t="shared" si="5"/>
        <v>2499.2200000000021</v>
      </c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</row>
    <row r="32" spans="1:35" ht="15" customHeight="1">
      <c r="A32" s="76" t="s">
        <v>235</v>
      </c>
      <c r="B32" s="109"/>
      <c r="C32" s="117">
        <f>SUM(C27:C31)</f>
        <v>96814.22</v>
      </c>
      <c r="D32" s="117">
        <f t="shared" ref="D32:J32" si="6">SUM(D26:D31)</f>
        <v>132222.27000000002</v>
      </c>
      <c r="E32" s="117">
        <f t="shared" si="6"/>
        <v>-140736.28</v>
      </c>
      <c r="F32" s="117">
        <f t="shared" si="6"/>
        <v>0</v>
      </c>
      <c r="G32" s="117">
        <f t="shared" si="6"/>
        <v>0</v>
      </c>
      <c r="H32" s="117">
        <f t="shared" si="6"/>
        <v>0</v>
      </c>
      <c r="I32" s="117">
        <f t="shared" si="6"/>
        <v>0</v>
      </c>
      <c r="J32" s="117">
        <f t="shared" si="6"/>
        <v>88300.209999999992</v>
      </c>
      <c r="K32" s="10" t="s">
        <v>133</v>
      </c>
    </row>
    <row r="33" spans="1:11" ht="15" customHeight="1">
      <c r="A33" s="76"/>
      <c r="B33" s="110"/>
      <c r="C33" s="107"/>
      <c r="D33" s="107"/>
      <c r="E33" s="107"/>
      <c r="F33" s="107"/>
      <c r="G33" s="107"/>
      <c r="H33" s="108"/>
      <c r="I33" s="107"/>
      <c r="J33" s="107"/>
    </row>
    <row r="34" spans="1:11" ht="15" customHeight="1" thickBot="1">
      <c r="A34" s="76" t="s">
        <v>124</v>
      </c>
      <c r="B34" s="110"/>
      <c r="C34" s="92">
        <f>+C13+C17+C23+C32</f>
        <v>139961.29999999999</v>
      </c>
      <c r="D34" s="92">
        <f t="shared" ref="D34:J34" si="7">+D13+D23+D17+D32</f>
        <v>158449.18000000002</v>
      </c>
      <c r="E34" s="92">
        <f t="shared" si="7"/>
        <v>-157542.88</v>
      </c>
      <c r="F34" s="92">
        <f t="shared" si="7"/>
        <v>0</v>
      </c>
      <c r="G34" s="92">
        <f t="shared" si="7"/>
        <v>0</v>
      </c>
      <c r="H34" s="92">
        <f t="shared" si="7"/>
        <v>0</v>
      </c>
      <c r="I34" s="92">
        <f t="shared" si="7"/>
        <v>0</v>
      </c>
      <c r="J34" s="92">
        <f t="shared" si="7"/>
        <v>140867.59999999998</v>
      </c>
      <c r="K34" s="169" t="s">
        <v>367</v>
      </c>
    </row>
    <row r="35" spans="1:11" ht="15" customHeight="1" thickTop="1">
      <c r="C35" s="16"/>
      <c r="D35" s="16"/>
      <c r="E35" s="16"/>
      <c r="F35" s="16"/>
      <c r="G35" s="16"/>
      <c r="H35" s="16"/>
      <c r="I35" s="16"/>
      <c r="J35" s="16">
        <f>SUM(C34:I34)</f>
        <v>140867.59999999998</v>
      </c>
    </row>
    <row r="36" spans="1:11" ht="15" customHeight="1">
      <c r="C36" s="16"/>
      <c r="D36" s="16"/>
      <c r="E36" s="16"/>
      <c r="F36" s="16"/>
      <c r="G36" s="16"/>
      <c r="H36" s="16"/>
      <c r="I36" s="16"/>
      <c r="J36" s="16"/>
    </row>
  </sheetData>
  <mergeCells count="1">
    <mergeCell ref="A1:J1"/>
  </mergeCells>
  <phoneticPr fontId="0" type="noConversion"/>
  <pageMargins left="0.21" right="0.21" top="1" bottom="1" header="0.5" footer="0.5"/>
  <pageSetup scale="62" fitToHeight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0">
    <tabColor rgb="FFFFFF00"/>
    <pageSetUpPr fitToPage="1"/>
  </sheetPr>
  <dimension ref="A1:AI38"/>
  <sheetViews>
    <sheetView topLeftCell="B10" zoomScaleNormal="100" workbookViewId="0">
      <selection activeCell="I24" sqref="I24"/>
    </sheetView>
  </sheetViews>
  <sheetFormatPr defaultColWidth="9" defaultRowHeight="15" customHeight="1"/>
  <cols>
    <col min="1" max="1" width="33.33203125" style="55" customWidth="1"/>
    <col min="2" max="2" width="16.6640625" style="121" customWidth="1"/>
    <col min="3" max="10" width="16.6640625" style="54" customWidth="1"/>
    <col min="11" max="11" width="10.88671875" style="54" bestFit="1" customWidth="1"/>
    <col min="12" max="35" width="9" style="54" customWidth="1"/>
    <col min="36" max="16384" width="9" style="55"/>
  </cols>
  <sheetData>
    <row r="1" spans="1:35" s="34" customFormat="1" ht="24.95" customHeight="1">
      <c r="A1" s="262" t="s">
        <v>712</v>
      </c>
      <c r="B1" s="259"/>
      <c r="C1" s="259"/>
      <c r="D1" s="259"/>
      <c r="E1" s="259"/>
      <c r="F1" s="259"/>
      <c r="G1" s="259"/>
      <c r="H1" s="259"/>
      <c r="I1" s="259"/>
      <c r="J1" s="259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</row>
    <row r="2" spans="1:35" s="34" customFormat="1" ht="15" customHeight="1">
      <c r="A2" s="35"/>
      <c r="B2" s="118"/>
      <c r="C2" s="36" t="s">
        <v>133</v>
      </c>
      <c r="D2" s="37" t="s">
        <v>133</v>
      </c>
      <c r="E2" s="37" t="s">
        <v>133</v>
      </c>
      <c r="F2" s="37" t="s">
        <v>133</v>
      </c>
      <c r="G2" s="37" t="s">
        <v>133</v>
      </c>
      <c r="H2" s="37" t="s">
        <v>133</v>
      </c>
      <c r="I2" s="37" t="s">
        <v>133</v>
      </c>
      <c r="J2" s="36" t="s">
        <v>133</v>
      </c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3"/>
      <c r="AF2" s="33"/>
      <c r="AG2" s="33"/>
      <c r="AH2" s="33"/>
      <c r="AI2" s="33"/>
    </row>
    <row r="3" spans="1:35" s="34" customFormat="1" ht="15" customHeight="1">
      <c r="A3" s="35"/>
      <c r="B3" s="190" t="s">
        <v>412</v>
      </c>
      <c r="C3" s="38" t="s">
        <v>287</v>
      </c>
      <c r="D3" s="37" t="s">
        <v>286</v>
      </c>
      <c r="E3" s="37" t="s">
        <v>290</v>
      </c>
      <c r="F3" s="37" t="s">
        <v>76</v>
      </c>
      <c r="G3" s="37" t="s">
        <v>77</v>
      </c>
      <c r="H3" s="37" t="s">
        <v>288</v>
      </c>
      <c r="I3" s="60" t="s">
        <v>342</v>
      </c>
      <c r="J3" s="38" t="s">
        <v>289</v>
      </c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3"/>
      <c r="AF3" s="33"/>
      <c r="AG3" s="33"/>
      <c r="AH3" s="33"/>
      <c r="AI3" s="33"/>
    </row>
    <row r="4" spans="1:35" s="34" customFormat="1" ht="15" customHeight="1">
      <c r="A4" s="35"/>
      <c r="B4" s="118"/>
      <c r="C4" s="36">
        <v>43647</v>
      </c>
      <c r="D4" s="38" t="s">
        <v>133</v>
      </c>
      <c r="E4" s="38" t="s">
        <v>133</v>
      </c>
      <c r="F4" s="38" t="s">
        <v>133</v>
      </c>
      <c r="G4" s="38" t="s">
        <v>133</v>
      </c>
      <c r="H4" s="38" t="s">
        <v>133</v>
      </c>
      <c r="I4" s="75" t="s">
        <v>288</v>
      </c>
      <c r="J4" s="36">
        <v>44012</v>
      </c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3"/>
      <c r="AF4" s="33"/>
      <c r="AG4" s="33"/>
      <c r="AH4" s="33"/>
      <c r="AI4" s="33"/>
    </row>
    <row r="5" spans="1:35" s="8" customFormat="1" ht="15" customHeight="1">
      <c r="A5" s="7" t="s">
        <v>234</v>
      </c>
      <c r="B5" s="119"/>
      <c r="C5" s="16"/>
      <c r="D5" s="16"/>
      <c r="E5" s="16"/>
      <c r="F5" s="16"/>
      <c r="G5" s="16"/>
      <c r="H5" s="16"/>
      <c r="I5" s="16"/>
      <c r="J5" s="16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s="8" customFormat="1" ht="15" customHeight="1">
      <c r="A6" s="8" t="s">
        <v>323</v>
      </c>
      <c r="B6" s="191" t="s">
        <v>439</v>
      </c>
      <c r="C6" s="70">
        <v>100356.91000000002</v>
      </c>
      <c r="D6" s="70">
        <v>5180.67</v>
      </c>
      <c r="E6" s="70"/>
      <c r="F6" s="70"/>
      <c r="G6" s="70"/>
      <c r="H6" s="70"/>
      <c r="I6" s="70"/>
      <c r="J6" s="71">
        <f>SUM(C6:I6)</f>
        <v>105537.58000000002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s="8" customFormat="1" ht="15" customHeight="1">
      <c r="A7" s="7"/>
      <c r="B7" s="119"/>
      <c r="C7" s="70"/>
      <c r="D7" s="70"/>
      <c r="E7" s="70"/>
      <c r="F7" s="70"/>
      <c r="G7" s="70"/>
      <c r="H7" s="70"/>
      <c r="I7" s="70"/>
      <c r="J7" s="7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15" customHeight="1">
      <c r="A8" s="52" t="s">
        <v>112</v>
      </c>
      <c r="B8" s="120"/>
      <c r="C8" s="71"/>
      <c r="D8" s="71"/>
      <c r="E8" s="71"/>
      <c r="F8" s="71"/>
      <c r="G8" s="71"/>
      <c r="H8" s="71"/>
      <c r="I8" s="71"/>
      <c r="J8" s="71"/>
    </row>
    <row r="9" spans="1:35" s="99" customFormat="1" ht="15" customHeight="1">
      <c r="A9" s="174" t="s">
        <v>373</v>
      </c>
      <c r="B9" s="194" t="s">
        <v>440</v>
      </c>
      <c r="C9" s="71">
        <v>5205.5599999999977</v>
      </c>
      <c r="D9" s="71"/>
      <c r="E9" s="71"/>
      <c r="F9" s="71"/>
      <c r="G9" s="71"/>
      <c r="H9" s="71"/>
      <c r="I9" s="71"/>
      <c r="J9" s="71">
        <f>SUM(C9:I9)</f>
        <v>5205.5599999999977</v>
      </c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</row>
    <row r="10" spans="1:35" s="99" customFormat="1" ht="15" customHeight="1">
      <c r="A10" s="99" t="s">
        <v>118</v>
      </c>
      <c r="B10" s="194" t="s">
        <v>441</v>
      </c>
      <c r="C10" s="71">
        <v>999.04</v>
      </c>
      <c r="D10" s="71"/>
      <c r="E10" s="71">
        <v>-792.32</v>
      </c>
      <c r="F10" s="71"/>
      <c r="G10" s="71"/>
      <c r="H10" s="71"/>
      <c r="I10" s="71"/>
      <c r="J10" s="71">
        <f>SUM(C10:I10)</f>
        <v>206.71999999999991</v>
      </c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</row>
    <row r="11" spans="1:35" s="99" customFormat="1" ht="15" customHeight="1">
      <c r="A11" s="174" t="s">
        <v>389</v>
      </c>
      <c r="B11" s="194" t="s">
        <v>442</v>
      </c>
      <c r="C11" s="71">
        <v>500</v>
      </c>
      <c r="D11" s="71"/>
      <c r="E11" s="71"/>
      <c r="F11" s="71"/>
      <c r="G11" s="71"/>
      <c r="H11" s="71"/>
      <c r="I11" s="71"/>
      <c r="J11" s="71">
        <f>SUM(C11:I11)</f>
        <v>500</v>
      </c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</row>
    <row r="12" spans="1:35" s="99" customFormat="1" ht="15" customHeight="1">
      <c r="A12" s="73" t="s">
        <v>734</v>
      </c>
      <c r="B12" s="194" t="s">
        <v>735</v>
      </c>
      <c r="C12" s="71">
        <v>543.60000000000014</v>
      </c>
      <c r="D12" s="71">
        <v>2313</v>
      </c>
      <c r="E12" s="71">
        <v>-1202.99</v>
      </c>
      <c r="F12" s="71"/>
      <c r="G12" s="71"/>
      <c r="H12" s="71"/>
      <c r="I12" s="71"/>
      <c r="J12" s="71">
        <f t="shared" ref="J12:J23" si="0">SUM(C12:I12)</f>
        <v>1653.6100000000004</v>
      </c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</row>
    <row r="13" spans="1:35" s="99" customFormat="1" ht="15" customHeight="1">
      <c r="A13" s="73" t="s">
        <v>847</v>
      </c>
      <c r="B13" s="194" t="s">
        <v>848</v>
      </c>
      <c r="C13" s="71">
        <v>0</v>
      </c>
      <c r="D13" s="71">
        <v>100</v>
      </c>
      <c r="E13" s="71"/>
      <c r="F13" s="71"/>
      <c r="G13" s="71"/>
      <c r="H13" s="71"/>
      <c r="I13" s="71"/>
      <c r="J13" s="71">
        <f t="shared" si="0"/>
        <v>100</v>
      </c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</row>
    <row r="14" spans="1:35" s="8" customFormat="1" ht="15" customHeight="1">
      <c r="A14" t="s">
        <v>443</v>
      </c>
      <c r="B14" s="190" t="s">
        <v>444</v>
      </c>
      <c r="C14" s="67">
        <v>1320</v>
      </c>
      <c r="D14" s="67"/>
      <c r="E14" s="67"/>
      <c r="F14" s="67"/>
      <c r="G14" s="67"/>
      <c r="H14" s="67"/>
      <c r="I14" s="67"/>
      <c r="J14" s="71">
        <f t="shared" si="0"/>
        <v>1320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</row>
    <row r="15" spans="1:35" ht="15" customHeight="1">
      <c r="A15" s="55" t="s">
        <v>113</v>
      </c>
      <c r="B15" s="191" t="s">
        <v>445</v>
      </c>
      <c r="C15" s="71">
        <v>391.85</v>
      </c>
      <c r="D15" s="71"/>
      <c r="E15" s="71"/>
      <c r="F15" s="71"/>
      <c r="G15" s="71"/>
      <c r="H15" s="71"/>
      <c r="I15" s="71"/>
      <c r="J15" s="71">
        <f t="shared" ref="J15:J21" si="1">SUM(C15:I15)</f>
        <v>391.85</v>
      </c>
    </row>
    <row r="16" spans="1:35" ht="15" customHeight="1">
      <c r="A16" t="s">
        <v>446</v>
      </c>
      <c r="B16" s="191" t="s">
        <v>447</v>
      </c>
      <c r="C16" s="71">
        <v>2022.38</v>
      </c>
      <c r="D16" s="71"/>
      <c r="E16" s="71"/>
      <c r="F16" s="71"/>
      <c r="G16" s="71"/>
      <c r="H16" s="71"/>
      <c r="I16" s="71"/>
      <c r="J16" s="71">
        <f t="shared" si="1"/>
        <v>2022.38</v>
      </c>
    </row>
    <row r="17" spans="1:35" ht="15" customHeight="1">
      <c r="A17" t="s">
        <v>753</v>
      </c>
      <c r="B17" s="191" t="s">
        <v>754</v>
      </c>
      <c r="C17" s="71">
        <v>5084.4500000000007</v>
      </c>
      <c r="D17" s="71"/>
      <c r="E17" s="71">
        <f>-500-3371.5-1212.95</f>
        <v>-5084.45</v>
      </c>
      <c r="F17" s="71"/>
      <c r="G17" s="71"/>
      <c r="H17" s="71"/>
      <c r="I17" s="71"/>
      <c r="J17" s="71">
        <f t="shared" si="1"/>
        <v>0</v>
      </c>
    </row>
    <row r="18" spans="1:35" ht="15" customHeight="1">
      <c r="A18" t="s">
        <v>796</v>
      </c>
      <c r="B18" s="191" t="s">
        <v>771</v>
      </c>
      <c r="C18" s="71">
        <v>7047.77</v>
      </c>
      <c r="D18" s="71">
        <v>2181</v>
      </c>
      <c r="E18" s="71">
        <f>-295-1493.77-655.33-4767.57</f>
        <v>-7211.67</v>
      </c>
      <c r="F18" s="71"/>
      <c r="G18" s="71"/>
      <c r="H18" s="71"/>
      <c r="I18" s="71"/>
      <c r="J18" s="71">
        <f t="shared" si="1"/>
        <v>2017.1000000000004</v>
      </c>
    </row>
    <row r="19" spans="1:35" ht="15" customHeight="1">
      <c r="A19" t="s">
        <v>588</v>
      </c>
      <c r="B19" s="191" t="s">
        <v>589</v>
      </c>
      <c r="C19" s="71">
        <v>872</v>
      </c>
      <c r="D19" s="71"/>
      <c r="E19" s="71"/>
      <c r="F19" s="71"/>
      <c r="G19" s="71"/>
      <c r="H19" s="71"/>
      <c r="I19" s="71"/>
      <c r="J19" s="71">
        <f t="shared" si="1"/>
        <v>872</v>
      </c>
    </row>
    <row r="20" spans="1:35" ht="15" customHeight="1">
      <c r="A20" t="s">
        <v>448</v>
      </c>
      <c r="B20" s="191" t="s">
        <v>449</v>
      </c>
      <c r="C20" s="62">
        <v>1070</v>
      </c>
      <c r="D20" s="62"/>
      <c r="E20" s="62"/>
      <c r="F20" s="62"/>
      <c r="G20" s="62"/>
      <c r="H20" s="62"/>
      <c r="I20" s="62"/>
      <c r="J20" s="62">
        <f t="shared" si="1"/>
        <v>1070</v>
      </c>
    </row>
    <row r="21" spans="1:35" ht="15" customHeight="1">
      <c r="A21" s="55" t="s">
        <v>116</v>
      </c>
      <c r="B21" s="191" t="s">
        <v>450</v>
      </c>
      <c r="C21" s="53">
        <v>1354.2</v>
      </c>
      <c r="D21" s="53"/>
      <c r="E21" s="53"/>
      <c r="F21" s="53"/>
      <c r="G21" s="53"/>
      <c r="H21" s="53"/>
      <c r="I21" s="53"/>
      <c r="J21" s="53">
        <f t="shared" si="1"/>
        <v>1354.2</v>
      </c>
    </row>
    <row r="22" spans="1:35" ht="15" customHeight="1">
      <c r="A22" s="55" t="s">
        <v>168</v>
      </c>
      <c r="B22" s="191" t="s">
        <v>451</v>
      </c>
      <c r="C22" s="53">
        <v>250.05999999999995</v>
      </c>
      <c r="D22" s="53">
        <v>1100</v>
      </c>
      <c r="E22" s="53">
        <v>-1050.06</v>
      </c>
      <c r="F22" s="53"/>
      <c r="G22" s="53"/>
      <c r="H22" s="53"/>
      <c r="I22" s="53"/>
      <c r="J22" s="53">
        <f t="shared" ref="J22" si="2">SUM(C22:I22)</f>
        <v>300</v>
      </c>
    </row>
    <row r="23" spans="1:35" ht="15" customHeight="1">
      <c r="A23" s="55" t="s">
        <v>170</v>
      </c>
      <c r="B23" s="191" t="s">
        <v>452</v>
      </c>
      <c r="C23" s="71">
        <v>35997.96</v>
      </c>
      <c r="D23" s="71">
        <v>2289.1</v>
      </c>
      <c r="E23" s="71">
        <v>-319.60000000000002</v>
      </c>
      <c r="F23" s="71"/>
      <c r="G23" s="71"/>
      <c r="H23" s="71"/>
      <c r="I23" s="71"/>
      <c r="J23" s="71">
        <f t="shared" si="0"/>
        <v>37967.46</v>
      </c>
    </row>
    <row r="24" spans="1:35" ht="15" customHeight="1">
      <c r="A24" s="55" t="s">
        <v>115</v>
      </c>
      <c r="B24" s="191" t="s">
        <v>453</v>
      </c>
      <c r="C24" s="53">
        <v>4278.6299999999992</v>
      </c>
      <c r="D24" s="53">
        <v>1257</v>
      </c>
      <c r="E24" s="53">
        <f>-103.89-206.19</f>
        <v>-310.08</v>
      </c>
      <c r="F24" s="53"/>
      <c r="G24" s="53"/>
      <c r="H24" s="53"/>
      <c r="I24" s="53"/>
      <c r="J24" s="71">
        <f>SUM(C24:I24)</f>
        <v>5225.5499999999993</v>
      </c>
    </row>
    <row r="25" spans="1:35" ht="15" customHeight="1">
      <c r="A25" s="55" t="s">
        <v>117</v>
      </c>
      <c r="B25" s="191" t="s">
        <v>454</v>
      </c>
      <c r="C25" s="62">
        <v>442</v>
      </c>
      <c r="D25" s="62"/>
      <c r="E25" s="62"/>
      <c r="F25" s="62"/>
      <c r="G25" s="62"/>
      <c r="H25" s="62"/>
      <c r="I25" s="62"/>
      <c r="J25" s="71">
        <f>SUM(C25:I25)</f>
        <v>442</v>
      </c>
    </row>
    <row r="26" spans="1:35" ht="15" customHeight="1">
      <c r="A26" s="55" t="s">
        <v>114</v>
      </c>
      <c r="B26" s="191" t="s">
        <v>455</v>
      </c>
      <c r="C26" s="71">
        <v>0</v>
      </c>
      <c r="D26" s="71"/>
      <c r="E26" s="71"/>
      <c r="F26" s="71"/>
      <c r="G26" s="71"/>
      <c r="H26" s="71"/>
      <c r="I26" s="71"/>
      <c r="J26" s="71">
        <f t="shared" ref="J26:J27" si="3">SUM(C26:I26)</f>
        <v>0</v>
      </c>
    </row>
    <row r="27" spans="1:35" s="8" customFormat="1" ht="15" customHeight="1">
      <c r="A27" s="8" t="s">
        <v>108</v>
      </c>
      <c r="B27" s="190" t="s">
        <v>456</v>
      </c>
      <c r="C27" s="67">
        <v>0</v>
      </c>
      <c r="D27" s="67"/>
      <c r="E27" s="67"/>
      <c r="F27" s="67"/>
      <c r="G27" s="67"/>
      <c r="H27" s="67"/>
      <c r="I27" s="67"/>
      <c r="J27" s="71">
        <f t="shared" si="3"/>
        <v>0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</row>
    <row r="28" spans="1:35" ht="15" customHeight="1">
      <c r="A28" s="8" t="s">
        <v>119</v>
      </c>
      <c r="B28" s="191" t="s">
        <v>417</v>
      </c>
      <c r="C28" s="70">
        <v>0</v>
      </c>
      <c r="D28" s="70"/>
      <c r="E28" s="70"/>
      <c r="F28" s="70"/>
      <c r="G28" s="70"/>
      <c r="H28" s="70"/>
      <c r="I28" s="70"/>
      <c r="J28" s="71">
        <f>SUM(C28:I28)</f>
        <v>0</v>
      </c>
    </row>
    <row r="29" spans="1:35" ht="15" customHeight="1">
      <c r="C29" s="53"/>
      <c r="D29" s="53"/>
      <c r="E29" s="53"/>
      <c r="F29" s="53"/>
      <c r="G29" s="53"/>
      <c r="H29" s="53"/>
      <c r="I29" s="53"/>
      <c r="J29" s="53"/>
    </row>
    <row r="30" spans="1:35" ht="15" customHeight="1">
      <c r="A30" s="55" t="s">
        <v>292</v>
      </c>
      <c r="C30" s="84">
        <f t="shared" ref="C30:J30" si="4">SUM(C9:C28)</f>
        <v>67379.5</v>
      </c>
      <c r="D30" s="84">
        <f t="shared" si="4"/>
        <v>9240.1</v>
      </c>
      <c r="E30" s="84">
        <f t="shared" si="4"/>
        <v>-15971.17</v>
      </c>
      <c r="F30" s="84">
        <f t="shared" si="4"/>
        <v>0</v>
      </c>
      <c r="G30" s="84">
        <f t="shared" si="4"/>
        <v>0</v>
      </c>
      <c r="H30" s="84">
        <f t="shared" si="4"/>
        <v>0</v>
      </c>
      <c r="I30" s="84">
        <f t="shared" si="4"/>
        <v>0</v>
      </c>
      <c r="J30" s="84">
        <f t="shared" si="4"/>
        <v>60648.429999999993</v>
      </c>
    </row>
    <row r="31" spans="1:35" ht="15" customHeight="1">
      <c r="C31" s="53"/>
      <c r="D31" s="53"/>
      <c r="E31" s="53"/>
      <c r="F31" s="53"/>
      <c r="G31" s="53"/>
      <c r="H31" s="53"/>
      <c r="I31" s="53"/>
      <c r="J31" s="53"/>
    </row>
    <row r="32" spans="1:35" ht="15" customHeight="1">
      <c r="A32" s="52" t="s">
        <v>231</v>
      </c>
      <c r="B32" s="120"/>
      <c r="C32" s="53"/>
      <c r="D32" s="53"/>
      <c r="E32" s="53"/>
      <c r="F32" s="53"/>
      <c r="G32" s="53"/>
      <c r="H32" s="53"/>
      <c r="I32" s="53"/>
      <c r="J32" s="53"/>
    </row>
    <row r="33" spans="1:35" s="99" customFormat="1" ht="15" customHeight="1">
      <c r="A33" s="174"/>
      <c r="B33" s="122"/>
      <c r="C33" s="71">
        <v>0</v>
      </c>
      <c r="D33" s="71"/>
      <c r="E33" s="71"/>
      <c r="F33" s="71"/>
      <c r="G33" s="71"/>
      <c r="H33" s="71"/>
      <c r="I33" s="71"/>
      <c r="J33" s="71">
        <f>SUM(C33:I33)</f>
        <v>0</v>
      </c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</row>
    <row r="34" spans="1:35" ht="15" customHeight="1">
      <c r="A34" s="55" t="s">
        <v>235</v>
      </c>
      <c r="C34" s="84">
        <f t="shared" ref="C34:J34" si="5">SUM(C33:C33)</f>
        <v>0</v>
      </c>
      <c r="D34" s="84">
        <f t="shared" si="5"/>
        <v>0</v>
      </c>
      <c r="E34" s="84">
        <f t="shared" si="5"/>
        <v>0</v>
      </c>
      <c r="F34" s="84">
        <f t="shared" si="5"/>
        <v>0</v>
      </c>
      <c r="G34" s="84">
        <f t="shared" si="5"/>
        <v>0</v>
      </c>
      <c r="H34" s="84">
        <f t="shared" si="5"/>
        <v>0</v>
      </c>
      <c r="I34" s="84">
        <f t="shared" si="5"/>
        <v>0</v>
      </c>
      <c r="J34" s="84">
        <f t="shared" si="5"/>
        <v>0</v>
      </c>
      <c r="K34" s="54" t="s">
        <v>133</v>
      </c>
    </row>
    <row r="35" spans="1:35" ht="15" customHeight="1">
      <c r="C35" s="62"/>
      <c r="D35" s="62"/>
      <c r="E35" s="62"/>
      <c r="F35" s="62"/>
      <c r="G35" s="62"/>
      <c r="H35" s="62"/>
      <c r="I35" s="62"/>
      <c r="J35" s="62"/>
    </row>
    <row r="36" spans="1:35" ht="15" customHeight="1" thickBot="1">
      <c r="A36" s="55" t="s">
        <v>125</v>
      </c>
      <c r="C36" s="94">
        <f t="shared" ref="C36:J36" si="6">+C34+C30+C6</f>
        <v>167736.41000000003</v>
      </c>
      <c r="D36" s="94">
        <f t="shared" si="6"/>
        <v>14420.77</v>
      </c>
      <c r="E36" s="94">
        <f t="shared" si="6"/>
        <v>-15971.17</v>
      </c>
      <c r="F36" s="94">
        <f t="shared" si="6"/>
        <v>0</v>
      </c>
      <c r="G36" s="94">
        <f t="shared" si="6"/>
        <v>0</v>
      </c>
      <c r="H36" s="94">
        <f t="shared" si="6"/>
        <v>0</v>
      </c>
      <c r="I36" s="94">
        <f t="shared" si="6"/>
        <v>0</v>
      </c>
      <c r="J36" s="94">
        <f t="shared" si="6"/>
        <v>166186.01</v>
      </c>
      <c r="K36" s="169" t="s">
        <v>367</v>
      </c>
    </row>
    <row r="37" spans="1:35" ht="15" customHeight="1" thickTop="1">
      <c r="C37" s="53"/>
      <c r="D37" s="53"/>
      <c r="E37" s="53"/>
      <c r="F37" s="53"/>
      <c r="G37" s="53"/>
      <c r="H37" s="53"/>
      <c r="I37" s="53"/>
      <c r="J37" s="53">
        <f>SUM(C36:I36)</f>
        <v>166186.01</v>
      </c>
      <c r="K37" s="95"/>
    </row>
    <row r="38" spans="1:35" ht="15" customHeight="1">
      <c r="C38" s="53"/>
      <c r="D38" s="53"/>
      <c r="E38" s="53"/>
      <c r="F38" s="53"/>
      <c r="G38" s="53"/>
      <c r="H38" s="53"/>
      <c r="I38" s="53"/>
      <c r="J38" s="53"/>
    </row>
  </sheetData>
  <mergeCells count="1">
    <mergeCell ref="A1:J1"/>
  </mergeCells>
  <phoneticPr fontId="0" type="noConversion"/>
  <pageMargins left="0.21" right="0.21" top="1" bottom="1" header="0.5" footer="0.5"/>
  <pageSetup scale="61" fitToHeight="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>
    <tabColor rgb="FFFFFF00"/>
    <pageSetUpPr fitToPage="1"/>
  </sheetPr>
  <dimension ref="A1:AI20"/>
  <sheetViews>
    <sheetView topLeftCell="B1" zoomScaleNormal="100" workbookViewId="0">
      <selection activeCell="H10" sqref="H10"/>
    </sheetView>
  </sheetViews>
  <sheetFormatPr defaultColWidth="9" defaultRowHeight="15" customHeight="1"/>
  <cols>
    <col min="1" max="1" width="30" style="8" customWidth="1"/>
    <col min="2" max="2" width="16.6640625" style="11" customWidth="1"/>
    <col min="3" max="10" width="16.6640625" style="10" customWidth="1"/>
    <col min="11" max="11" width="9.88671875" style="10" bestFit="1" customWidth="1"/>
    <col min="12" max="35" width="9" style="10" customWidth="1"/>
    <col min="36" max="16384" width="9" style="8"/>
  </cols>
  <sheetData>
    <row r="1" spans="1:30" ht="24.95" customHeight="1">
      <c r="A1" s="262" t="s">
        <v>740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30" ht="15" customHeight="1">
      <c r="A2" s="11"/>
      <c r="C2" s="75" t="s">
        <v>133</v>
      </c>
      <c r="D2" s="60" t="s">
        <v>133</v>
      </c>
      <c r="E2" s="60" t="s">
        <v>133</v>
      </c>
      <c r="F2" s="60" t="s">
        <v>133</v>
      </c>
      <c r="G2" s="60" t="s">
        <v>133</v>
      </c>
      <c r="H2" s="60"/>
      <c r="I2" s="60" t="s">
        <v>133</v>
      </c>
      <c r="J2" s="75" t="s">
        <v>133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0" ht="15" customHeight="1">
      <c r="A3" s="11"/>
      <c r="B3" s="190" t="s">
        <v>412</v>
      </c>
      <c r="C3" s="12" t="s">
        <v>287</v>
      </c>
      <c r="D3" s="60" t="s">
        <v>286</v>
      </c>
      <c r="E3" s="170" t="s">
        <v>374</v>
      </c>
      <c r="F3" s="170" t="s">
        <v>390</v>
      </c>
      <c r="G3" s="170" t="s">
        <v>76</v>
      </c>
      <c r="H3" s="60" t="s">
        <v>290</v>
      </c>
      <c r="I3" s="60" t="s">
        <v>342</v>
      </c>
      <c r="J3" s="12" t="s">
        <v>289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15" customHeight="1">
      <c r="A4" s="11"/>
      <c r="C4" s="75">
        <v>43647</v>
      </c>
      <c r="D4" s="12" t="s">
        <v>133</v>
      </c>
      <c r="E4" s="12" t="s">
        <v>133</v>
      </c>
      <c r="F4" s="12" t="s">
        <v>133</v>
      </c>
      <c r="G4" s="12" t="s">
        <v>133</v>
      </c>
      <c r="H4" s="12" t="s">
        <v>133</v>
      </c>
      <c r="I4" s="75" t="s">
        <v>288</v>
      </c>
      <c r="J4" s="75">
        <v>44012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 ht="15" customHeight="1">
      <c r="A5" s="11"/>
      <c r="C5" s="75"/>
      <c r="D5" s="12" t="s">
        <v>133</v>
      </c>
      <c r="E5" s="12"/>
      <c r="F5" s="12"/>
      <c r="G5" s="12"/>
      <c r="H5" s="12"/>
      <c r="I5" s="12"/>
      <c r="J5" s="75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1:30" ht="15" customHeight="1">
      <c r="C6" s="16"/>
      <c r="D6" s="16"/>
      <c r="E6" s="16"/>
      <c r="F6" s="16"/>
      <c r="G6" s="16"/>
      <c r="H6" s="16"/>
      <c r="I6" s="16"/>
      <c r="J6" s="16"/>
    </row>
    <row r="7" spans="1:30" ht="15" customHeight="1">
      <c r="A7" s="7" t="s">
        <v>340</v>
      </c>
      <c r="B7" s="9"/>
      <c r="C7" s="16"/>
      <c r="D7" s="16"/>
      <c r="E7" s="16"/>
      <c r="F7" s="16"/>
      <c r="G7" s="16"/>
      <c r="H7" s="16"/>
      <c r="I7" s="16"/>
      <c r="J7" s="16"/>
    </row>
    <row r="8" spans="1:30" ht="15" customHeight="1">
      <c r="A8" s="52"/>
      <c r="B8" s="49"/>
      <c r="C8" s="16"/>
      <c r="D8" s="16"/>
      <c r="E8" s="16"/>
      <c r="F8" s="16"/>
      <c r="G8" s="16"/>
      <c r="H8" s="16"/>
      <c r="I8" s="16"/>
      <c r="J8" s="16"/>
    </row>
    <row r="9" spans="1:30" ht="15" customHeight="1">
      <c r="A9" s="8" t="s">
        <v>138</v>
      </c>
      <c r="B9" s="187" t="s">
        <v>457</v>
      </c>
      <c r="C9" s="16">
        <v>-354850.45</v>
      </c>
      <c r="D9" s="16">
        <v>877249.52</v>
      </c>
      <c r="E9" s="16"/>
      <c r="F9" s="16"/>
      <c r="G9" s="16"/>
      <c r="H9" s="16">
        <v>-522341.19</v>
      </c>
      <c r="I9" s="16"/>
      <c r="J9" s="16">
        <f>SUM(C9:I9)</f>
        <v>57.880000000004657</v>
      </c>
    </row>
    <row r="10" spans="1:30" ht="15" customHeight="1">
      <c r="B10" s="60"/>
      <c r="C10" s="16"/>
      <c r="D10" s="16"/>
      <c r="E10" s="16"/>
      <c r="F10" s="16"/>
      <c r="G10" s="16"/>
      <c r="H10" s="16"/>
      <c r="I10" s="16"/>
      <c r="J10" s="16"/>
    </row>
    <row r="11" spans="1:30" ht="15" customHeight="1">
      <c r="A11" s="87" t="s">
        <v>736</v>
      </c>
      <c r="B11" s="225" t="s">
        <v>737</v>
      </c>
      <c r="C11" s="16">
        <v>245911.09</v>
      </c>
      <c r="D11" s="16"/>
      <c r="E11" s="16"/>
      <c r="F11" s="16"/>
      <c r="G11" s="16"/>
      <c r="H11" s="16">
        <v>-184630.14</v>
      </c>
      <c r="I11" s="16"/>
      <c r="J11" s="16">
        <f>SUM(C11:I11)</f>
        <v>61280.949999999983</v>
      </c>
    </row>
    <row r="12" spans="1:30" ht="15" customHeight="1">
      <c r="A12" s="87"/>
      <c r="B12" s="225"/>
      <c r="C12" s="16"/>
      <c r="D12" s="16"/>
      <c r="E12" s="16"/>
      <c r="F12" s="16"/>
      <c r="G12" s="16"/>
      <c r="H12" s="16"/>
      <c r="I12" s="16"/>
      <c r="J12" s="16"/>
    </row>
    <row r="13" spans="1:30" ht="15" customHeight="1">
      <c r="A13" s="87" t="s">
        <v>799</v>
      </c>
      <c r="B13" s="225" t="s">
        <v>800</v>
      </c>
      <c r="C13" s="16">
        <v>4393976.63</v>
      </c>
      <c r="D13" s="16">
        <v>41835.86</v>
      </c>
      <c r="E13" s="16"/>
      <c r="F13" s="16">
        <v>0</v>
      </c>
      <c r="G13" s="16">
        <v>728000</v>
      </c>
      <c r="H13" s="16">
        <v>-7503455.1200000001</v>
      </c>
      <c r="I13" s="16"/>
      <c r="J13" s="16">
        <f>SUM(C13:I13)</f>
        <v>-2339642.63</v>
      </c>
    </row>
    <row r="14" spans="1:30" ht="15" customHeight="1">
      <c r="B14" s="60"/>
      <c r="C14" s="16"/>
      <c r="D14" s="16"/>
      <c r="E14" s="16"/>
      <c r="F14" s="16"/>
      <c r="G14" s="16"/>
      <c r="H14" s="16"/>
      <c r="I14" s="16"/>
      <c r="J14" s="16"/>
    </row>
    <row r="15" spans="1:30" ht="15" customHeight="1">
      <c r="A15" s="87" t="s">
        <v>738</v>
      </c>
      <c r="B15" s="225" t="s">
        <v>739</v>
      </c>
      <c r="C15" s="16">
        <v>693447.09</v>
      </c>
      <c r="D15" s="16"/>
      <c r="E15" s="16"/>
      <c r="F15" s="16"/>
      <c r="G15" s="16"/>
      <c r="H15" s="16"/>
      <c r="I15" s="16"/>
      <c r="J15" s="16">
        <f>SUM(C15:I15)</f>
        <v>693447.09</v>
      </c>
    </row>
    <row r="16" spans="1:30" ht="15" customHeight="1">
      <c r="B16" s="60"/>
      <c r="C16" s="16"/>
      <c r="D16" s="16"/>
      <c r="E16" s="16"/>
      <c r="F16" s="16"/>
      <c r="G16" s="16"/>
      <c r="H16" s="16"/>
      <c r="I16" s="16"/>
      <c r="J16" s="16"/>
    </row>
    <row r="17" spans="1:11" ht="15" customHeight="1" thickBot="1">
      <c r="A17" s="8" t="s">
        <v>341</v>
      </c>
      <c r="B17" s="60"/>
      <c r="C17" s="91">
        <f>SUM(C9:C15)</f>
        <v>4978484.3599999994</v>
      </c>
      <c r="D17" s="91">
        <f t="shared" ref="D17:J17" si="0">SUM(D9:D15)</f>
        <v>919085.38</v>
      </c>
      <c r="E17" s="91">
        <f t="shared" si="0"/>
        <v>0</v>
      </c>
      <c r="F17" s="91">
        <f t="shared" si="0"/>
        <v>0</v>
      </c>
      <c r="G17" s="91">
        <f t="shared" si="0"/>
        <v>728000</v>
      </c>
      <c r="H17" s="91">
        <f t="shared" si="0"/>
        <v>-8210426.4500000002</v>
      </c>
      <c r="I17" s="91">
        <f t="shared" si="0"/>
        <v>0</v>
      </c>
      <c r="J17" s="91">
        <f t="shared" si="0"/>
        <v>-1584856.71</v>
      </c>
      <c r="K17" s="169" t="s">
        <v>368</v>
      </c>
    </row>
    <row r="18" spans="1:11" ht="15" customHeight="1" thickTop="1">
      <c r="C18" s="16"/>
      <c r="D18" s="16"/>
      <c r="E18" s="16"/>
      <c r="F18" s="16"/>
      <c r="G18" s="16"/>
      <c r="H18" s="16"/>
      <c r="I18" s="16"/>
      <c r="J18" s="16">
        <f>SUM(C17:I17)</f>
        <v>-1584856.7100000009</v>
      </c>
    </row>
    <row r="19" spans="1:11" ht="15" customHeight="1">
      <c r="C19" s="16"/>
      <c r="D19" s="16"/>
      <c r="E19" s="16"/>
      <c r="F19" s="16"/>
      <c r="G19" s="16"/>
      <c r="H19" s="16"/>
      <c r="I19" s="16"/>
      <c r="J19" s="16"/>
    </row>
    <row r="20" spans="1:11" ht="15" customHeight="1">
      <c r="C20" s="16"/>
      <c r="D20" s="16"/>
      <c r="E20" s="16"/>
      <c r="F20" s="16"/>
      <c r="G20" s="16"/>
      <c r="H20" s="16"/>
      <c r="I20" s="16"/>
      <c r="J20" s="16"/>
    </row>
  </sheetData>
  <mergeCells count="1">
    <mergeCell ref="A1:J1"/>
  </mergeCells>
  <phoneticPr fontId="0" type="noConversion"/>
  <pageMargins left="0.21" right="0.21" top="1" bottom="1" header="0.5" footer="0.5"/>
  <pageSetup scale="62" fitToHeight="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30">
    <tabColor rgb="FFFFFF00"/>
    <pageSetUpPr fitToPage="1"/>
  </sheetPr>
  <dimension ref="A1:K67"/>
  <sheetViews>
    <sheetView topLeftCell="A46" zoomScaleNormal="100" workbookViewId="0">
      <selection activeCell="D47" sqref="D47"/>
    </sheetView>
  </sheetViews>
  <sheetFormatPr defaultRowHeight="15" customHeight="1"/>
  <cols>
    <col min="1" max="1" width="50.5546875" customWidth="1"/>
    <col min="2" max="2" width="17.5546875" bestFit="1" customWidth="1"/>
    <col min="3" max="4" width="14.33203125" bestFit="1" customWidth="1"/>
    <col min="5" max="5" width="14.5546875" customWidth="1"/>
    <col min="6" max="6" width="2.33203125" customWidth="1"/>
    <col min="8" max="8" width="25.33203125" customWidth="1"/>
    <col min="10" max="10" width="25.44140625" customWidth="1"/>
    <col min="11" max="11" width="20" customWidth="1"/>
  </cols>
  <sheetData>
    <row r="1" spans="1:11" ht="15" customHeight="1">
      <c r="A1" s="260" t="s">
        <v>45</v>
      </c>
      <c r="B1" s="259"/>
      <c r="C1" s="259"/>
      <c r="D1" s="259"/>
      <c r="E1" s="259"/>
      <c r="F1" s="98"/>
    </row>
    <row r="3" spans="1:11" ht="15" customHeight="1">
      <c r="A3" s="263" t="s">
        <v>763</v>
      </c>
      <c r="B3" s="259"/>
      <c r="C3" s="259"/>
      <c r="D3" s="259"/>
      <c r="E3" s="259"/>
      <c r="F3" s="98"/>
    </row>
    <row r="5" spans="1:11" ht="15" customHeight="1">
      <c r="A5" s="260" t="s">
        <v>834</v>
      </c>
      <c r="B5" s="259"/>
      <c r="C5" s="259"/>
      <c r="D5" s="259"/>
      <c r="E5" s="259"/>
      <c r="F5" s="98"/>
    </row>
    <row r="7" spans="1:11" ht="15" customHeight="1">
      <c r="A7" s="260" t="s">
        <v>699</v>
      </c>
      <c r="B7" s="259"/>
      <c r="C7" s="259"/>
      <c r="D7" s="259"/>
      <c r="E7" s="259"/>
      <c r="F7" s="98"/>
    </row>
    <row r="9" spans="1:11" ht="15" customHeight="1">
      <c r="H9" s="1"/>
    </row>
    <row r="10" spans="1:11" ht="15" customHeight="1">
      <c r="A10" s="1"/>
      <c r="B10" s="1"/>
      <c r="C10" s="4" t="s">
        <v>181</v>
      </c>
      <c r="D10" s="4" t="s">
        <v>182</v>
      </c>
      <c r="E10" s="4" t="s">
        <v>183</v>
      </c>
      <c r="F10" s="4"/>
      <c r="H10" s="1"/>
    </row>
    <row r="11" spans="1:11" ht="15" customHeight="1">
      <c r="A11" s="2" t="s">
        <v>180</v>
      </c>
      <c r="B11" s="1"/>
      <c r="C11" s="1"/>
      <c r="D11" s="1"/>
      <c r="E11" s="1"/>
      <c r="F11" s="1"/>
      <c r="H11" s="1"/>
      <c r="J11" s="1"/>
      <c r="K11" s="72"/>
    </row>
    <row r="12" spans="1:11" ht="15" customHeight="1">
      <c r="A12" s="1" t="s">
        <v>709</v>
      </c>
      <c r="B12" s="13"/>
      <c r="C12" s="13">
        <v>589665</v>
      </c>
      <c r="D12" s="13">
        <v>765146.72</v>
      </c>
      <c r="E12" s="13">
        <f t="shared" ref="E12:E19" si="0">D12-C12</f>
        <v>175481.71999999997</v>
      </c>
      <c r="F12" s="13"/>
      <c r="H12" s="1"/>
      <c r="J12" s="1"/>
      <c r="K12" s="72"/>
    </row>
    <row r="13" spans="1:11" ht="15" customHeight="1">
      <c r="A13" s="1" t="s">
        <v>131</v>
      </c>
      <c r="B13" s="13"/>
      <c r="C13" s="13">
        <v>252724</v>
      </c>
      <c r="D13" s="13">
        <v>489415.38</v>
      </c>
      <c r="E13" s="13">
        <f t="shared" si="0"/>
        <v>236691.38</v>
      </c>
      <c r="F13" s="13"/>
      <c r="H13" s="1"/>
      <c r="J13" s="1"/>
      <c r="K13" s="72"/>
    </row>
    <row r="14" spans="1:11" ht="15" customHeight="1">
      <c r="A14" s="1" t="s">
        <v>710</v>
      </c>
      <c r="B14" s="13"/>
      <c r="C14" s="13">
        <v>2500</v>
      </c>
      <c r="D14" s="13">
        <v>4881.57</v>
      </c>
      <c r="E14" s="13">
        <f t="shared" si="0"/>
        <v>2381.5699999999997</v>
      </c>
      <c r="F14" s="13"/>
      <c r="H14" s="1"/>
      <c r="J14" s="1"/>
      <c r="K14" s="163"/>
    </row>
    <row r="15" spans="1:11" ht="15" customHeight="1">
      <c r="A15" s="1" t="s">
        <v>711</v>
      </c>
      <c r="B15" s="13"/>
      <c r="C15" s="13">
        <v>18400</v>
      </c>
      <c r="D15" s="13">
        <v>16630.37</v>
      </c>
      <c r="E15" s="13">
        <f t="shared" si="0"/>
        <v>-1769.630000000001</v>
      </c>
      <c r="F15" s="13"/>
      <c r="H15" s="1"/>
      <c r="J15" s="1"/>
      <c r="K15" s="163"/>
    </row>
    <row r="16" spans="1:11" ht="15" customHeight="1">
      <c r="A16" s="1" t="s">
        <v>825</v>
      </c>
      <c r="B16" s="13"/>
      <c r="C16" s="13">
        <v>0</v>
      </c>
      <c r="D16" s="13">
        <v>0</v>
      </c>
      <c r="E16" s="13">
        <f t="shared" si="0"/>
        <v>0</v>
      </c>
      <c r="F16" s="13"/>
      <c r="H16" s="1"/>
      <c r="J16" s="1"/>
      <c r="K16" s="163"/>
    </row>
    <row r="17" spans="1:11" ht="15" customHeight="1">
      <c r="A17" s="1" t="s">
        <v>24</v>
      </c>
      <c r="B17" s="13"/>
      <c r="C17" s="13">
        <v>3500</v>
      </c>
      <c r="D17" s="13">
        <v>2800</v>
      </c>
      <c r="E17" s="13">
        <f t="shared" si="0"/>
        <v>-700</v>
      </c>
      <c r="F17" s="13"/>
      <c r="H17" s="1"/>
      <c r="J17" s="1"/>
      <c r="K17" s="163"/>
    </row>
    <row r="18" spans="1:11" ht="15" customHeight="1">
      <c r="A18" s="1" t="s">
        <v>226</v>
      </c>
      <c r="B18" s="13"/>
      <c r="C18" s="13">
        <v>0</v>
      </c>
      <c r="D18" s="13">
        <v>220.84</v>
      </c>
      <c r="E18" s="13">
        <f t="shared" si="0"/>
        <v>220.84</v>
      </c>
      <c r="F18" s="13"/>
      <c r="H18" s="1"/>
      <c r="J18" s="1"/>
      <c r="K18" s="83"/>
    </row>
    <row r="19" spans="1:11" ht="15" customHeight="1">
      <c r="A19" s="1" t="s">
        <v>838</v>
      </c>
      <c r="B19" s="13"/>
      <c r="C19" s="13">
        <v>0</v>
      </c>
      <c r="D19" s="13">
        <v>25240</v>
      </c>
      <c r="E19" s="13">
        <f t="shared" si="0"/>
        <v>25240</v>
      </c>
      <c r="F19" s="13"/>
      <c r="H19" s="1"/>
      <c r="J19" s="1"/>
      <c r="K19" s="15"/>
    </row>
    <row r="20" spans="1:11" ht="15" customHeight="1">
      <c r="A20" s="1" t="s">
        <v>767</v>
      </c>
      <c r="B20" s="13"/>
      <c r="C20" s="79">
        <f>SUM(C12:C19)</f>
        <v>866789</v>
      </c>
      <c r="D20" s="79">
        <f>SUM(D12:D19)</f>
        <v>1304334.8800000004</v>
      </c>
      <c r="E20" s="79">
        <f>SUM(E12:E19)</f>
        <v>437545.88</v>
      </c>
      <c r="F20" s="23"/>
      <c r="H20" s="6"/>
      <c r="J20" s="1"/>
      <c r="K20" s="15"/>
    </row>
    <row r="21" spans="1:11" ht="15" customHeight="1">
      <c r="A21" s="2" t="s">
        <v>25</v>
      </c>
      <c r="B21" s="13"/>
      <c r="C21" s="13"/>
      <c r="D21" s="13"/>
      <c r="E21" s="13"/>
      <c r="F21" s="13"/>
      <c r="H21" s="1"/>
      <c r="J21" s="6"/>
      <c r="K21" s="13"/>
    </row>
    <row r="22" spans="1:11" ht="15" customHeight="1">
      <c r="A22" s="1" t="s">
        <v>26</v>
      </c>
      <c r="B22" s="13"/>
      <c r="C22" s="13">
        <v>0</v>
      </c>
      <c r="D22" s="13">
        <v>2189.0500000000002</v>
      </c>
      <c r="E22" s="13">
        <f t="shared" ref="E22:E27" si="1">D22-C22</f>
        <v>2189.0500000000002</v>
      </c>
      <c r="F22" s="13"/>
      <c r="H22" s="1"/>
      <c r="J22" s="1"/>
      <c r="K22" s="13"/>
    </row>
    <row r="23" spans="1:11" ht="15" customHeight="1">
      <c r="A23" s="1" t="s">
        <v>21</v>
      </c>
      <c r="B23" s="13"/>
      <c r="C23" s="13">
        <v>0</v>
      </c>
      <c r="D23" s="13">
        <v>490.53</v>
      </c>
      <c r="E23" s="13">
        <f t="shared" si="1"/>
        <v>490.53</v>
      </c>
      <c r="F23" s="13"/>
      <c r="H23" s="1"/>
      <c r="J23" s="1"/>
      <c r="K23" s="13"/>
    </row>
    <row r="24" spans="1:11" ht="15" customHeight="1">
      <c r="A24" s="1" t="s">
        <v>27</v>
      </c>
      <c r="B24" s="13"/>
      <c r="C24" s="13">
        <v>0</v>
      </c>
      <c r="D24" s="13">
        <v>0</v>
      </c>
      <c r="E24" s="13">
        <f t="shared" si="1"/>
        <v>0</v>
      </c>
      <c r="F24" s="13"/>
      <c r="H24" s="1"/>
      <c r="J24" s="1"/>
      <c r="K24" s="13"/>
    </row>
    <row r="25" spans="1:11" ht="15" customHeight="1">
      <c r="A25" s="1" t="s">
        <v>28</v>
      </c>
      <c r="B25" s="13"/>
      <c r="C25" s="13">
        <v>0</v>
      </c>
      <c r="D25" s="13">
        <v>0</v>
      </c>
      <c r="E25" s="13">
        <f t="shared" si="1"/>
        <v>0</v>
      </c>
      <c r="F25" s="13"/>
      <c r="H25" s="1"/>
      <c r="J25" s="1"/>
      <c r="K25" s="13"/>
    </row>
    <row r="26" spans="1:11" ht="15" customHeight="1">
      <c r="A26" s="1" t="s">
        <v>826</v>
      </c>
      <c r="B26" s="13"/>
      <c r="C26" s="13">
        <v>0</v>
      </c>
      <c r="D26" s="13">
        <v>419.72</v>
      </c>
      <c r="E26" s="13">
        <f t="shared" si="1"/>
        <v>419.72</v>
      </c>
      <c r="F26" s="13"/>
      <c r="H26" s="1"/>
      <c r="J26" s="1"/>
      <c r="K26" s="13"/>
    </row>
    <row r="27" spans="1:11" ht="15" customHeight="1">
      <c r="A27" s="1" t="s">
        <v>29</v>
      </c>
      <c r="B27" s="13"/>
      <c r="C27" s="13">
        <v>0</v>
      </c>
      <c r="D27" s="13">
        <f>584.92+1230.84</f>
        <v>1815.7599999999998</v>
      </c>
      <c r="E27" s="13">
        <f t="shared" si="1"/>
        <v>1815.7599999999998</v>
      </c>
      <c r="F27" s="13"/>
      <c r="H27" s="1"/>
      <c r="J27" s="1"/>
      <c r="K27" s="13"/>
    </row>
    <row r="28" spans="1:11" ht="15" customHeight="1">
      <c r="A28" s="1" t="s">
        <v>768</v>
      </c>
      <c r="B28" s="13"/>
      <c r="C28" s="79">
        <f>SUM(C22:C27)</f>
        <v>0</v>
      </c>
      <c r="D28" s="79">
        <f t="shared" ref="D28:E28" si="2">SUM(D22:D27)</f>
        <v>4915.0599999999995</v>
      </c>
      <c r="E28" s="79">
        <f t="shared" si="2"/>
        <v>4915.0599999999995</v>
      </c>
      <c r="F28" s="23"/>
      <c r="J28" s="1"/>
      <c r="K28" s="13"/>
    </row>
    <row r="29" spans="1:11" ht="15" customHeight="1">
      <c r="A29" s="2" t="s">
        <v>195</v>
      </c>
      <c r="B29" s="13"/>
      <c r="C29" s="13"/>
      <c r="D29" s="13"/>
      <c r="E29" s="13"/>
      <c r="F29" s="13"/>
      <c r="J29" s="1"/>
      <c r="K29" s="13"/>
    </row>
    <row r="30" spans="1:11" ht="15" customHeight="1">
      <c r="A30" s="246" t="s">
        <v>844</v>
      </c>
      <c r="B30" s="13"/>
      <c r="C30" s="13">
        <v>0</v>
      </c>
      <c r="D30" s="13">
        <v>167961.66</v>
      </c>
      <c r="E30" s="13">
        <f>D30-C30</f>
        <v>167961.66</v>
      </c>
      <c r="F30" s="13"/>
      <c r="J30" s="1"/>
      <c r="K30" s="13"/>
    </row>
    <row r="31" spans="1:11" ht="15" customHeight="1">
      <c r="A31" s="1" t="s">
        <v>843</v>
      </c>
      <c r="B31" s="14"/>
      <c r="C31" s="13">
        <v>0</v>
      </c>
      <c r="D31" s="18">
        <v>28371.34</v>
      </c>
      <c r="E31" s="13">
        <f>D31-C31</f>
        <v>28371.34</v>
      </c>
      <c r="F31" s="13"/>
      <c r="J31" s="1"/>
      <c r="K31" s="69"/>
    </row>
    <row r="32" spans="1:11" ht="15" customHeight="1">
      <c r="A32" s="1" t="s">
        <v>769</v>
      </c>
      <c r="B32" s="13"/>
      <c r="C32" s="242">
        <f>SUM(C30:C31)</f>
        <v>0</v>
      </c>
      <c r="D32" s="242">
        <f>SUM(D30:D31)</f>
        <v>196333</v>
      </c>
      <c r="E32" s="242">
        <f>SUM(E30:E31)</f>
        <v>196333</v>
      </c>
      <c r="F32" s="23"/>
      <c r="J32" s="1"/>
      <c r="K32" s="69"/>
    </row>
    <row r="33" spans="1:11" ht="15" customHeight="1" thickBot="1">
      <c r="A33" s="1" t="s">
        <v>842</v>
      </c>
      <c r="B33" s="13"/>
      <c r="C33" s="81">
        <f>+C20+C28+C32</f>
        <v>866789</v>
      </c>
      <c r="D33" s="81">
        <f>+D20+D28+D32</f>
        <v>1505582.9400000004</v>
      </c>
      <c r="E33" s="81">
        <f>+E20+E28+E32</f>
        <v>638793.93999999994</v>
      </c>
      <c r="F33" s="23"/>
      <c r="J33" s="1"/>
      <c r="K33" s="69"/>
    </row>
    <row r="34" spans="1:11" ht="15" customHeight="1" thickTop="1">
      <c r="A34" s="1"/>
      <c r="B34" s="13"/>
      <c r="C34" s="13"/>
      <c r="D34" s="13"/>
      <c r="E34" s="13" t="s">
        <v>133</v>
      </c>
      <c r="F34" s="13"/>
      <c r="J34" s="1"/>
      <c r="K34" s="69"/>
    </row>
    <row r="35" spans="1:11" ht="15" customHeight="1">
      <c r="A35" s="2" t="s">
        <v>227</v>
      </c>
      <c r="B35" s="13"/>
      <c r="C35" s="13"/>
      <c r="D35" s="13"/>
      <c r="E35" s="13" t="s">
        <v>133</v>
      </c>
      <c r="F35" s="13"/>
      <c r="J35" s="1"/>
      <c r="K35" s="23"/>
    </row>
    <row r="36" spans="1:11" ht="15" customHeight="1">
      <c r="A36" s="1" t="s">
        <v>764</v>
      </c>
      <c r="B36" s="13"/>
      <c r="C36" s="13">
        <v>92870</v>
      </c>
      <c r="D36" s="13">
        <v>90294.92</v>
      </c>
      <c r="E36" s="13">
        <f t="shared" ref="E36:E41" si="3">+C36-D36</f>
        <v>2575.0800000000017</v>
      </c>
      <c r="F36" s="13"/>
    </row>
    <row r="37" spans="1:11" ht="15" customHeight="1">
      <c r="A37" s="1" t="s">
        <v>766</v>
      </c>
      <c r="B37" s="13"/>
      <c r="C37" s="13">
        <v>417961.66</v>
      </c>
      <c r="D37" s="13">
        <v>417961.66</v>
      </c>
      <c r="E37" s="13">
        <f t="shared" si="3"/>
        <v>0</v>
      </c>
      <c r="F37" s="13"/>
    </row>
    <row r="38" spans="1:11" ht="15" customHeight="1">
      <c r="A38" s="1" t="s">
        <v>765</v>
      </c>
      <c r="B38" s="13"/>
      <c r="C38" s="13">
        <v>434150</v>
      </c>
      <c r="D38" s="13">
        <v>434150</v>
      </c>
      <c r="E38" s="13">
        <f t="shared" si="3"/>
        <v>0</v>
      </c>
      <c r="F38" s="13"/>
    </row>
    <row r="39" spans="1:11" ht="15" customHeight="1">
      <c r="A39" s="1" t="s">
        <v>615</v>
      </c>
      <c r="B39" s="13"/>
      <c r="C39" s="13">
        <v>28371.34</v>
      </c>
      <c r="D39" s="13">
        <v>28371.34</v>
      </c>
      <c r="E39" s="13">
        <f t="shared" si="3"/>
        <v>0</v>
      </c>
      <c r="F39" s="146"/>
    </row>
    <row r="40" spans="1:11" ht="15" customHeight="1">
      <c r="A40" s="1" t="s">
        <v>152</v>
      </c>
      <c r="B40" s="13"/>
      <c r="C40" s="13">
        <v>0</v>
      </c>
      <c r="D40" s="13">
        <v>0</v>
      </c>
      <c r="E40" s="13">
        <f t="shared" si="3"/>
        <v>0</v>
      </c>
      <c r="F40" s="146"/>
    </row>
    <row r="41" spans="1:11" ht="15" customHeight="1">
      <c r="A41" s="1" t="s">
        <v>209</v>
      </c>
      <c r="B41" s="13"/>
      <c r="C41" s="78">
        <v>89769</v>
      </c>
      <c r="D41" s="78">
        <v>87962</v>
      </c>
      <c r="E41" s="78">
        <f t="shared" si="3"/>
        <v>1807</v>
      </c>
      <c r="F41" s="13"/>
    </row>
    <row r="42" spans="1:11" ht="15" customHeight="1">
      <c r="A42" s="1" t="s">
        <v>839</v>
      </c>
      <c r="B42" s="13"/>
      <c r="C42" s="23">
        <f>SUM(C36:C41)</f>
        <v>1063122</v>
      </c>
      <c r="D42" s="23">
        <f>SUM(D36:D41)</f>
        <v>1058739.92</v>
      </c>
      <c r="E42" s="23">
        <f>SUM(E36:E41)</f>
        <v>4382.0800000000017</v>
      </c>
      <c r="F42" s="23"/>
    </row>
    <row r="43" spans="1:11" ht="15" customHeight="1">
      <c r="A43" s="1"/>
      <c r="B43" s="13"/>
      <c r="C43" s="23"/>
      <c r="D43" s="23"/>
      <c r="E43" s="23"/>
      <c r="F43" s="23"/>
    </row>
    <row r="44" spans="1:11" ht="15" customHeight="1">
      <c r="A44" s="2" t="s">
        <v>840</v>
      </c>
      <c r="B44" s="13"/>
      <c r="C44" s="78">
        <v>0</v>
      </c>
      <c r="D44" s="78">
        <v>25240</v>
      </c>
      <c r="E44" s="78">
        <f t="shared" ref="E44" si="4">+C44-D44</f>
        <v>-25240</v>
      </c>
      <c r="F44" s="23"/>
    </row>
    <row r="45" spans="1:11" ht="15" customHeight="1" thickBot="1">
      <c r="A45" s="1" t="s">
        <v>841</v>
      </c>
      <c r="B45" s="13"/>
      <c r="C45" s="81">
        <f>C42+C44</f>
        <v>1063122</v>
      </c>
      <c r="D45" s="81">
        <f t="shared" ref="D45:E45" si="5">D42+D44</f>
        <v>1083979.92</v>
      </c>
      <c r="E45" s="81">
        <f t="shared" si="5"/>
        <v>-20857.919999999998</v>
      </c>
      <c r="F45" s="23"/>
    </row>
    <row r="46" spans="1:11" ht="15" customHeight="1" thickTop="1">
      <c r="A46" s="2"/>
      <c r="B46" s="13"/>
      <c r="C46" s="23"/>
      <c r="D46" s="23"/>
      <c r="E46" s="23"/>
      <c r="F46" s="23"/>
    </row>
    <row r="47" spans="1:11" ht="15" customHeight="1">
      <c r="B47" s="14"/>
      <c r="C47" s="14"/>
      <c r="D47" s="14"/>
      <c r="E47" s="14"/>
      <c r="F47" s="14"/>
    </row>
    <row r="48" spans="1:11" ht="15" customHeight="1">
      <c r="A48" s="7" t="s">
        <v>210</v>
      </c>
      <c r="B48" s="14"/>
      <c r="C48" s="14"/>
      <c r="D48" s="14"/>
      <c r="E48" s="14"/>
      <c r="F48" s="14"/>
    </row>
    <row r="49" spans="1:8" ht="15" customHeight="1">
      <c r="A49" s="7"/>
      <c r="B49" s="14"/>
      <c r="C49" s="14"/>
      <c r="D49" s="14"/>
      <c r="E49" s="14"/>
      <c r="F49" s="14"/>
    </row>
    <row r="50" spans="1:8" ht="15" customHeight="1">
      <c r="A50" t="s">
        <v>824</v>
      </c>
      <c r="B50" s="14">
        <v>259233.1</v>
      </c>
      <c r="C50" s="14"/>
      <c r="D50" s="14"/>
      <c r="E50" s="14"/>
      <c r="F50" s="14"/>
    </row>
    <row r="51" spans="1:8" ht="15" customHeight="1">
      <c r="A51" t="s">
        <v>835</v>
      </c>
      <c r="B51" s="14">
        <f>+D20+D28</f>
        <v>1309249.9400000004</v>
      </c>
      <c r="C51" s="14"/>
      <c r="D51" s="14"/>
      <c r="E51" s="14"/>
      <c r="F51" s="14"/>
      <c r="H51" s="180"/>
    </row>
    <row r="52" spans="1:8" ht="15" customHeight="1">
      <c r="A52" t="s">
        <v>836</v>
      </c>
      <c r="B52" s="14">
        <f>-D42-D44</f>
        <v>-1083979.92</v>
      </c>
      <c r="C52" s="14"/>
      <c r="D52" s="14"/>
      <c r="E52" s="14"/>
      <c r="F52" s="14"/>
    </row>
    <row r="53" spans="1:8" ht="15" customHeight="1">
      <c r="B53" s="85"/>
      <c r="C53" s="14"/>
      <c r="D53" s="14"/>
      <c r="E53" s="14"/>
      <c r="F53" s="14"/>
    </row>
    <row r="54" spans="1:8" ht="15" customHeight="1" thickBot="1">
      <c r="A54" t="s">
        <v>837</v>
      </c>
      <c r="B54" s="86">
        <f>SUM(B50:B52)</f>
        <v>484503.12000000058</v>
      </c>
      <c r="C54" s="14"/>
      <c r="D54" s="14"/>
      <c r="E54" s="14"/>
      <c r="F54" s="14"/>
    </row>
    <row r="55" spans="1:8" ht="15" customHeight="1" thickTop="1">
      <c r="B55" s="14"/>
      <c r="C55" s="14"/>
      <c r="D55" s="14"/>
      <c r="E55" s="14"/>
      <c r="F55" s="14"/>
    </row>
    <row r="56" spans="1:8" ht="15" customHeight="1">
      <c r="B56" s="14"/>
      <c r="C56" s="14"/>
      <c r="D56" s="14"/>
      <c r="E56" s="14"/>
      <c r="F56" s="14"/>
    </row>
    <row r="57" spans="1:8" ht="15" customHeight="1">
      <c r="A57" s="7" t="s">
        <v>329</v>
      </c>
      <c r="B57" s="14"/>
      <c r="C57" s="14"/>
      <c r="D57" s="14"/>
      <c r="E57" s="14"/>
      <c r="F57" s="14"/>
    </row>
    <row r="58" spans="1:8" ht="15" customHeight="1">
      <c r="A58" t="s">
        <v>770</v>
      </c>
      <c r="B58" s="14">
        <v>0</v>
      </c>
      <c r="C58" s="14"/>
      <c r="D58" s="14"/>
      <c r="E58" s="14"/>
      <c r="F58" s="14"/>
    </row>
    <row r="59" spans="1:8" ht="15" customHeight="1">
      <c r="A59" t="s">
        <v>211</v>
      </c>
      <c r="B59" s="14">
        <v>50000</v>
      </c>
      <c r="C59" s="14"/>
      <c r="D59" s="14"/>
      <c r="E59" s="14"/>
      <c r="F59" s="14"/>
    </row>
    <row r="60" spans="1:8" ht="15" customHeight="1">
      <c r="A60" t="s">
        <v>212</v>
      </c>
      <c r="B60" s="14">
        <v>0</v>
      </c>
      <c r="C60" s="14"/>
      <c r="D60" s="14"/>
      <c r="E60" s="14"/>
      <c r="F60" s="14"/>
    </row>
    <row r="61" spans="1:8" ht="15" customHeight="1">
      <c r="A61" t="s">
        <v>87</v>
      </c>
      <c r="B61" s="85">
        <f>484503.12-50000-24421.06</f>
        <v>410082.06</v>
      </c>
      <c r="C61" s="14"/>
      <c r="D61" s="14"/>
      <c r="E61" s="14"/>
      <c r="F61" s="14"/>
    </row>
    <row r="62" spans="1:8" ht="15" customHeight="1">
      <c r="A62" t="s">
        <v>562</v>
      </c>
      <c r="B62" s="85">
        <v>24421.06</v>
      </c>
      <c r="C62" s="14"/>
      <c r="D62" s="14"/>
      <c r="E62" s="14"/>
      <c r="F62" s="14"/>
    </row>
    <row r="63" spans="1:8" ht="15" customHeight="1">
      <c r="B63" s="16"/>
      <c r="C63" s="14"/>
      <c r="D63" s="14"/>
      <c r="E63" s="14"/>
      <c r="F63" s="14"/>
    </row>
    <row r="64" spans="1:8" ht="15" customHeight="1" thickBot="1">
      <c r="A64" t="s">
        <v>837</v>
      </c>
      <c r="B64" s="82">
        <f>SUM(B58:B62)</f>
        <v>484503.12</v>
      </c>
      <c r="C64" s="14"/>
      <c r="D64" s="14"/>
      <c r="E64" s="14"/>
      <c r="F64" s="14"/>
    </row>
    <row r="65" spans="1:2" ht="15" customHeight="1" thickTop="1"/>
    <row r="66" spans="1:2" ht="15" customHeight="1">
      <c r="A66" s="73" t="s">
        <v>890</v>
      </c>
      <c r="B66" s="73"/>
    </row>
    <row r="67" spans="1:2" ht="15" customHeight="1">
      <c r="A67" t="s">
        <v>133</v>
      </c>
    </row>
  </sheetData>
  <mergeCells count="4">
    <mergeCell ref="A1:E1"/>
    <mergeCell ref="A3:E3"/>
    <mergeCell ref="A5:E5"/>
    <mergeCell ref="A7:E7"/>
  </mergeCells>
  <phoneticPr fontId="0" type="noConversion"/>
  <pageMargins left="0.75" right="0.75" top="1" bottom="1" header="0.5" footer="0.5"/>
  <pageSetup scale="47" orientation="landscape" r:id="rId1"/>
  <headerFooter alignWithMargins="0"/>
  <rowBreaks count="1" manualBreakCount="1">
    <brk id="46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5">
    <tabColor rgb="FFFFFF00"/>
  </sheetPr>
  <dimension ref="A1:AI118"/>
  <sheetViews>
    <sheetView topLeftCell="A86" zoomScaleNormal="100" workbookViewId="0">
      <selection activeCell="I102" sqref="I102"/>
    </sheetView>
  </sheetViews>
  <sheetFormatPr defaultColWidth="9" defaultRowHeight="15" customHeight="1"/>
  <cols>
    <col min="1" max="1" width="33.21875" style="8" customWidth="1"/>
    <col min="2" max="2" width="14.21875" style="123" customWidth="1"/>
    <col min="3" max="3" width="16" style="10" customWidth="1"/>
    <col min="4" max="4" width="16.21875" style="10" customWidth="1"/>
    <col min="5" max="5" width="14.77734375" style="10" customWidth="1"/>
    <col min="6" max="6" width="15.77734375" style="10" customWidth="1"/>
    <col min="7" max="7" width="16.21875" style="10" customWidth="1"/>
    <col min="8" max="8" width="12.33203125" style="10" customWidth="1"/>
    <col min="9" max="9" width="10.88671875" style="10" customWidth="1"/>
    <col min="10" max="10" width="15.21875" style="10" customWidth="1"/>
    <col min="11" max="11" width="13.5546875" style="10" bestFit="1" customWidth="1"/>
    <col min="12" max="35" width="9" style="10" customWidth="1"/>
    <col min="36" max="16384" width="9" style="8"/>
  </cols>
  <sheetData>
    <row r="1" spans="1:30" ht="24.95" customHeight="1">
      <c r="E1" s="188" t="s">
        <v>700</v>
      </c>
    </row>
    <row r="2" spans="1:30" ht="15" customHeight="1">
      <c r="A2" s="11"/>
      <c r="C2" s="75" t="s">
        <v>133</v>
      </c>
      <c r="D2" s="60" t="s">
        <v>133</v>
      </c>
      <c r="E2" s="60" t="s">
        <v>133</v>
      </c>
      <c r="F2" s="60" t="s">
        <v>133</v>
      </c>
      <c r="G2" s="60" t="s">
        <v>133</v>
      </c>
      <c r="H2" s="60"/>
      <c r="I2" s="60" t="s">
        <v>133</v>
      </c>
      <c r="J2" s="75" t="s">
        <v>133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0" ht="15" customHeight="1">
      <c r="A3" s="11"/>
      <c r="B3" s="190" t="s">
        <v>412</v>
      </c>
      <c r="C3" s="12" t="s">
        <v>287</v>
      </c>
      <c r="D3" s="60" t="s">
        <v>286</v>
      </c>
      <c r="E3" s="60" t="s">
        <v>290</v>
      </c>
      <c r="F3" s="170" t="s">
        <v>76</v>
      </c>
      <c r="G3" s="170" t="s">
        <v>77</v>
      </c>
      <c r="H3" s="170" t="s">
        <v>288</v>
      </c>
      <c r="I3" s="60" t="s">
        <v>342</v>
      </c>
      <c r="J3" s="12" t="s">
        <v>289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15" customHeight="1">
      <c r="A4" s="11"/>
      <c r="C4" s="75">
        <v>43647</v>
      </c>
      <c r="D4" s="12" t="s">
        <v>133</v>
      </c>
      <c r="E4" s="12" t="s">
        <v>133</v>
      </c>
      <c r="F4" s="12" t="s">
        <v>133</v>
      </c>
      <c r="G4" s="12" t="s">
        <v>133</v>
      </c>
      <c r="H4" s="12"/>
      <c r="I4" s="75" t="s">
        <v>288</v>
      </c>
      <c r="J4" s="75">
        <v>44012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 ht="15" customHeight="1">
      <c r="A5" s="11"/>
      <c r="C5" s="75"/>
      <c r="D5" s="12"/>
      <c r="E5" s="12"/>
      <c r="F5" s="12"/>
      <c r="G5" s="12"/>
      <c r="H5" s="12"/>
      <c r="I5" s="12"/>
      <c r="J5" s="75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1:30" ht="15" customHeight="1">
      <c r="A6" s="11"/>
      <c r="C6" s="75"/>
      <c r="D6" s="12" t="s">
        <v>133</v>
      </c>
      <c r="E6" s="12"/>
      <c r="F6" s="12"/>
      <c r="G6" s="12" t="s">
        <v>133</v>
      </c>
      <c r="H6" s="12"/>
      <c r="I6" s="12"/>
      <c r="J6" s="75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15" customHeight="1">
      <c r="A7" s="52" t="s">
        <v>294</v>
      </c>
      <c r="B7" s="124"/>
      <c r="C7" s="16"/>
      <c r="D7" s="16"/>
      <c r="E7" s="16"/>
      <c r="F7" s="16"/>
      <c r="G7" s="16"/>
      <c r="H7" s="16"/>
      <c r="I7" s="16"/>
      <c r="J7" s="16"/>
    </row>
    <row r="8" spans="1:30" ht="15" customHeight="1">
      <c r="A8" s="87" t="s">
        <v>208</v>
      </c>
      <c r="B8" s="124"/>
      <c r="C8" s="16"/>
      <c r="D8" s="16"/>
      <c r="E8" s="16"/>
      <c r="F8" s="16"/>
      <c r="G8" s="16"/>
      <c r="H8" s="16"/>
      <c r="I8" s="16"/>
      <c r="J8" s="16"/>
    </row>
    <row r="9" spans="1:30" ht="15" customHeight="1">
      <c r="A9" s="8" t="s">
        <v>50</v>
      </c>
      <c r="B9" s="191" t="s">
        <v>459</v>
      </c>
      <c r="C9" s="16">
        <v>10000</v>
      </c>
      <c r="D9" s="16"/>
      <c r="E9" s="16"/>
      <c r="F9" s="16"/>
      <c r="G9" s="16"/>
      <c r="H9" s="16"/>
      <c r="I9" s="16"/>
      <c r="J9" s="16">
        <f>SUM(C9:I9)</f>
        <v>10000</v>
      </c>
      <c r="K9" s="16"/>
    </row>
    <row r="10" spans="1:30" ht="15" customHeight="1">
      <c r="B10" s="191"/>
      <c r="C10" s="16"/>
      <c r="D10" s="16"/>
      <c r="E10" s="16"/>
      <c r="F10" s="16"/>
      <c r="G10" s="16"/>
      <c r="H10" s="16"/>
      <c r="I10" s="16"/>
      <c r="J10" s="16"/>
      <c r="K10" s="16"/>
    </row>
    <row r="11" spans="1:30" ht="15" customHeight="1">
      <c r="A11" t="s">
        <v>472</v>
      </c>
      <c r="B11" s="191"/>
      <c r="C11" s="16"/>
      <c r="D11" s="16"/>
      <c r="E11" s="16"/>
      <c r="F11" s="16"/>
      <c r="G11" s="16"/>
      <c r="H11" s="16"/>
      <c r="I11" s="16"/>
      <c r="J11" s="16"/>
      <c r="K11" s="16"/>
    </row>
    <row r="12" spans="1:30" ht="15" customHeight="1">
      <c r="A12" s="8" t="s">
        <v>59</v>
      </c>
      <c r="B12" s="191" t="s">
        <v>460</v>
      </c>
      <c r="C12" s="16">
        <v>210715</v>
      </c>
      <c r="D12" s="16">
        <v>6550</v>
      </c>
      <c r="E12" s="16"/>
      <c r="F12" s="16"/>
      <c r="G12" s="16"/>
      <c r="H12" s="16"/>
      <c r="I12" s="16"/>
      <c r="J12" s="16">
        <f t="shared" ref="J12:J36" si="0">SUM(C12:I12)</f>
        <v>217265</v>
      </c>
      <c r="K12" s="16"/>
    </row>
    <row r="13" spans="1:30" ht="15" customHeight="1">
      <c r="A13" s="8" t="s">
        <v>60</v>
      </c>
      <c r="B13" s="191" t="s">
        <v>461</v>
      </c>
      <c r="C13" s="16">
        <v>76700</v>
      </c>
      <c r="D13" s="16"/>
      <c r="E13" s="16"/>
      <c r="F13" s="16"/>
      <c r="G13" s="16"/>
      <c r="H13" s="16"/>
      <c r="I13" s="16"/>
      <c r="J13" s="16">
        <f t="shared" si="0"/>
        <v>76700</v>
      </c>
      <c r="K13" s="16"/>
    </row>
    <row r="14" spans="1:30" ht="15" customHeight="1">
      <c r="A14" t="s">
        <v>70</v>
      </c>
      <c r="B14" s="191" t="s">
        <v>462</v>
      </c>
      <c r="C14" s="16">
        <v>10650</v>
      </c>
      <c r="D14" s="16"/>
      <c r="E14" s="16"/>
      <c r="F14" s="16"/>
      <c r="G14" s="16"/>
      <c r="H14" s="16"/>
      <c r="I14" s="16"/>
      <c r="J14" s="16">
        <f t="shared" si="0"/>
        <v>10650</v>
      </c>
      <c r="K14" s="16"/>
    </row>
    <row r="15" spans="1:30" ht="15" customHeight="1">
      <c r="A15" s="8" t="s">
        <v>61</v>
      </c>
      <c r="B15" s="191" t="s">
        <v>463</v>
      </c>
      <c r="C15" s="16">
        <v>7365</v>
      </c>
      <c r="D15" s="16"/>
      <c r="E15" s="16"/>
      <c r="F15" s="16"/>
      <c r="G15" s="16"/>
      <c r="H15" s="16"/>
      <c r="I15" s="16"/>
      <c r="J15" s="16">
        <f t="shared" si="0"/>
        <v>7365</v>
      </c>
      <c r="K15" s="16"/>
    </row>
    <row r="16" spans="1:30" ht="15" customHeight="1">
      <c r="A16" s="8" t="s">
        <v>62</v>
      </c>
      <c r="B16" s="191" t="s">
        <v>464</v>
      </c>
      <c r="C16" s="16">
        <v>500</v>
      </c>
      <c r="D16" s="16"/>
      <c r="E16" s="16"/>
      <c r="F16" s="16"/>
      <c r="G16" s="16"/>
      <c r="H16" s="16"/>
      <c r="I16" s="70"/>
      <c r="J16" s="16">
        <f t="shared" si="0"/>
        <v>500</v>
      </c>
      <c r="K16" s="16"/>
    </row>
    <row r="17" spans="1:11" ht="15" customHeight="1">
      <c r="A17" s="8" t="s">
        <v>63</v>
      </c>
      <c r="B17" s="191" t="s">
        <v>465</v>
      </c>
      <c r="C17" s="16">
        <v>38000</v>
      </c>
      <c r="D17" s="16"/>
      <c r="E17" s="16"/>
      <c r="F17" s="16"/>
      <c r="G17" s="16"/>
      <c r="H17" s="16"/>
      <c r="I17" s="16"/>
      <c r="J17" s="16">
        <f t="shared" si="0"/>
        <v>38000</v>
      </c>
      <c r="K17" s="16"/>
    </row>
    <row r="18" spans="1:11" ht="15" customHeight="1">
      <c r="A18" t="s">
        <v>466</v>
      </c>
      <c r="B18" s="191" t="s">
        <v>467</v>
      </c>
      <c r="C18" s="67">
        <v>1000</v>
      </c>
      <c r="D18" s="67"/>
      <c r="E18" s="67"/>
      <c r="F18" s="67"/>
      <c r="G18" s="67"/>
      <c r="H18" s="67"/>
      <c r="I18" s="67"/>
      <c r="J18" s="16">
        <f t="shared" si="0"/>
        <v>1000</v>
      </c>
      <c r="K18" s="16"/>
    </row>
    <row r="19" spans="1:11" ht="15" customHeight="1">
      <c r="A19" s="87" t="s">
        <v>350</v>
      </c>
      <c r="B19" s="191" t="s">
        <v>468</v>
      </c>
      <c r="C19" s="67">
        <v>345</v>
      </c>
      <c r="D19" s="67"/>
      <c r="E19" s="67"/>
      <c r="F19" s="67"/>
      <c r="G19" s="67"/>
      <c r="H19" s="67"/>
      <c r="I19" s="67"/>
      <c r="J19" s="16">
        <f t="shared" si="0"/>
        <v>345</v>
      </c>
      <c r="K19" s="16"/>
    </row>
    <row r="20" spans="1:11" ht="15" customHeight="1">
      <c r="A20" s="87" t="s">
        <v>351</v>
      </c>
      <c r="B20" s="191" t="s">
        <v>469</v>
      </c>
      <c r="C20" s="67">
        <v>612</v>
      </c>
      <c r="D20" s="67"/>
      <c r="E20" s="67"/>
      <c r="F20" s="67"/>
      <c r="G20" s="67"/>
      <c r="H20" s="67"/>
      <c r="I20" s="67"/>
      <c r="J20" s="16">
        <f t="shared" si="0"/>
        <v>612</v>
      </c>
      <c r="K20" s="16"/>
    </row>
    <row r="21" spans="1:11" ht="15" customHeight="1">
      <c r="A21" t="s">
        <v>349</v>
      </c>
      <c r="B21" s="191" t="s">
        <v>470</v>
      </c>
      <c r="C21" s="67">
        <v>20000</v>
      </c>
      <c r="D21" s="67"/>
      <c r="E21" s="67"/>
      <c r="F21" s="67"/>
      <c r="G21" s="67"/>
      <c r="H21" s="67"/>
      <c r="I21" s="67"/>
      <c r="J21" s="16">
        <f t="shared" si="0"/>
        <v>20000</v>
      </c>
      <c r="K21" s="16"/>
    </row>
    <row r="22" spans="1:11" ht="15" customHeight="1">
      <c r="A22" s="87" t="s">
        <v>375</v>
      </c>
      <c r="B22" s="191" t="s">
        <v>471</v>
      </c>
      <c r="C22" s="67">
        <v>600</v>
      </c>
      <c r="D22" s="67"/>
      <c r="E22" s="67"/>
      <c r="F22" s="67"/>
      <c r="G22" s="67"/>
      <c r="H22" s="67"/>
      <c r="I22" s="67"/>
      <c r="J22" s="16">
        <f t="shared" si="0"/>
        <v>600</v>
      </c>
      <c r="K22" s="16"/>
    </row>
    <row r="23" spans="1:11" ht="15" customHeight="1">
      <c r="A23"/>
      <c r="B23" s="191"/>
      <c r="C23" s="67"/>
      <c r="D23" s="67"/>
      <c r="E23" s="67"/>
      <c r="F23" s="67"/>
      <c r="G23" s="67"/>
      <c r="H23" s="67"/>
      <c r="I23" s="67"/>
      <c r="J23" s="16"/>
      <c r="K23" s="16"/>
    </row>
    <row r="24" spans="1:11" ht="15" customHeight="1">
      <c r="A24" t="s">
        <v>473</v>
      </c>
      <c r="B24" s="191"/>
      <c r="C24" s="67"/>
      <c r="D24" s="67"/>
      <c r="E24" s="67"/>
      <c r="F24" s="67"/>
      <c r="G24" s="67"/>
      <c r="H24" s="67"/>
      <c r="I24" s="67"/>
      <c r="J24" s="16"/>
      <c r="K24" s="16"/>
    </row>
    <row r="25" spans="1:11" ht="15" customHeight="1">
      <c r="A25" s="8" t="s">
        <v>48</v>
      </c>
      <c r="B25" s="191" t="s">
        <v>474</v>
      </c>
      <c r="C25" s="16">
        <v>1000</v>
      </c>
      <c r="D25" s="16"/>
      <c r="E25" s="16"/>
      <c r="F25" s="16"/>
      <c r="G25" s="16"/>
      <c r="H25" s="16"/>
      <c r="I25" s="16"/>
      <c r="J25" s="16">
        <f t="shared" si="0"/>
        <v>1000</v>
      </c>
      <c r="K25" s="16"/>
    </row>
    <row r="26" spans="1:11" ht="15" customHeight="1">
      <c r="A26" s="8" t="s">
        <v>49</v>
      </c>
      <c r="B26" s="191" t="s">
        <v>475</v>
      </c>
      <c r="C26" s="16">
        <v>2000</v>
      </c>
      <c r="D26" s="16"/>
      <c r="E26" s="16"/>
      <c r="F26" s="16"/>
      <c r="G26" s="16"/>
      <c r="H26" s="16"/>
      <c r="I26" s="16"/>
      <c r="J26" s="16">
        <f t="shared" si="0"/>
        <v>2000</v>
      </c>
      <c r="K26" s="16"/>
    </row>
    <row r="27" spans="1:11" ht="15" customHeight="1">
      <c r="A27" s="8" t="s">
        <v>51</v>
      </c>
      <c r="B27" s="191" t="s">
        <v>476</v>
      </c>
      <c r="C27" s="16">
        <v>500</v>
      </c>
      <c r="D27" s="16"/>
      <c r="E27" s="16"/>
      <c r="F27" s="16"/>
      <c r="G27" s="16"/>
      <c r="H27" s="16"/>
      <c r="I27" s="16"/>
      <c r="J27" s="16">
        <f t="shared" si="0"/>
        <v>500</v>
      </c>
      <c r="K27" s="16"/>
    </row>
    <row r="28" spans="1:11" ht="15" customHeight="1">
      <c r="A28" s="8" t="s">
        <v>52</v>
      </c>
      <c r="B28" s="191" t="s">
        <v>477</v>
      </c>
      <c r="C28" s="16">
        <v>635</v>
      </c>
      <c r="D28" s="16"/>
      <c r="E28" s="16"/>
      <c r="F28" s="16"/>
      <c r="G28" s="16"/>
      <c r="H28" s="16"/>
      <c r="I28" s="16"/>
      <c r="J28" s="16">
        <f t="shared" si="0"/>
        <v>635</v>
      </c>
      <c r="K28" s="16"/>
    </row>
    <row r="29" spans="1:11" ht="15" customHeight="1">
      <c r="A29" s="8" t="s">
        <v>53</v>
      </c>
      <c r="B29" s="191" t="s">
        <v>478</v>
      </c>
      <c r="C29" s="16">
        <v>128.06</v>
      </c>
      <c r="D29" s="16"/>
      <c r="E29" s="16"/>
      <c r="F29" s="16"/>
      <c r="G29" s="16"/>
      <c r="H29" s="16"/>
      <c r="I29" s="16"/>
      <c r="J29" s="16">
        <f t="shared" si="0"/>
        <v>128.06</v>
      </c>
      <c r="K29" s="16"/>
    </row>
    <row r="30" spans="1:11" ht="15" customHeight="1">
      <c r="A30" s="8" t="s">
        <v>54</v>
      </c>
      <c r="B30" s="191" t="s">
        <v>479</v>
      </c>
      <c r="C30" s="16">
        <v>500</v>
      </c>
      <c r="D30" s="16"/>
      <c r="E30" s="16"/>
      <c r="F30" s="16"/>
      <c r="G30" s="16"/>
      <c r="H30" s="16"/>
      <c r="I30" s="16"/>
      <c r="J30" s="16">
        <f t="shared" si="0"/>
        <v>500</v>
      </c>
      <c r="K30" s="16"/>
    </row>
    <row r="31" spans="1:11" ht="15" customHeight="1">
      <c r="A31" s="8" t="s">
        <v>55</v>
      </c>
      <c r="B31" s="191" t="s">
        <v>480</v>
      </c>
      <c r="C31" s="16">
        <v>5000</v>
      </c>
      <c r="D31" s="16"/>
      <c r="E31" s="16"/>
      <c r="F31" s="16"/>
      <c r="G31" s="16"/>
      <c r="H31" s="16"/>
      <c r="I31" s="16"/>
      <c r="J31" s="16">
        <f t="shared" si="0"/>
        <v>5000</v>
      </c>
      <c r="K31" s="16"/>
    </row>
    <row r="32" spans="1:11" ht="15" customHeight="1">
      <c r="A32" s="8" t="s">
        <v>56</v>
      </c>
      <c r="B32" s="191" t="s">
        <v>481</v>
      </c>
      <c r="C32" s="16">
        <v>268</v>
      </c>
      <c r="D32" s="16"/>
      <c r="E32" s="16"/>
      <c r="F32" s="16"/>
      <c r="G32" s="16"/>
      <c r="H32" s="16"/>
      <c r="I32" s="16"/>
      <c r="J32" s="16">
        <f t="shared" si="0"/>
        <v>268</v>
      </c>
      <c r="K32" s="16"/>
    </row>
    <row r="33" spans="1:12" ht="15" customHeight="1">
      <c r="A33" s="8" t="s">
        <v>57</v>
      </c>
      <c r="B33" s="191" t="s">
        <v>482</v>
      </c>
      <c r="C33" s="16">
        <v>1000</v>
      </c>
      <c r="D33" s="16"/>
      <c r="E33" s="16"/>
      <c r="F33" s="16"/>
      <c r="G33" s="16"/>
      <c r="H33" s="16"/>
      <c r="I33" s="16"/>
      <c r="J33" s="16">
        <f t="shared" si="0"/>
        <v>1000</v>
      </c>
      <c r="K33" s="16"/>
    </row>
    <row r="34" spans="1:12" ht="15" customHeight="1">
      <c r="A34" s="8" t="s">
        <v>58</v>
      </c>
      <c r="B34" s="191" t="s">
        <v>483</v>
      </c>
      <c r="C34" s="16">
        <v>500</v>
      </c>
      <c r="D34" s="16"/>
      <c r="E34" s="16"/>
      <c r="F34" s="16"/>
      <c r="G34" s="16"/>
      <c r="H34" s="16"/>
      <c r="I34" s="16"/>
      <c r="J34" s="16">
        <f t="shared" si="0"/>
        <v>500</v>
      </c>
      <c r="K34" s="16"/>
    </row>
    <row r="35" spans="1:12" ht="15" customHeight="1">
      <c r="A35" s="8" t="s">
        <v>66</v>
      </c>
      <c r="B35" s="191" t="s">
        <v>484</v>
      </c>
      <c r="C35" s="16">
        <v>5000</v>
      </c>
      <c r="D35" s="16"/>
      <c r="E35" s="16"/>
      <c r="F35" s="16"/>
      <c r="G35" s="16"/>
      <c r="H35" s="16"/>
      <c r="I35" s="16"/>
      <c r="J35" s="16">
        <f t="shared" si="0"/>
        <v>5000</v>
      </c>
      <c r="K35" s="16"/>
    </row>
    <row r="36" spans="1:12" ht="15" customHeight="1">
      <c r="A36" s="8" t="s">
        <v>69</v>
      </c>
      <c r="B36" s="191" t="s">
        <v>485</v>
      </c>
      <c r="C36" s="16">
        <v>761.2</v>
      </c>
      <c r="D36" s="16"/>
      <c r="E36" s="16"/>
      <c r="F36" s="16"/>
      <c r="G36" s="16"/>
      <c r="H36" s="16"/>
      <c r="I36" s="16"/>
      <c r="J36" s="16">
        <f t="shared" si="0"/>
        <v>761.2</v>
      </c>
      <c r="K36" s="16"/>
    </row>
    <row r="37" spans="1:12" ht="15" customHeight="1">
      <c r="C37" s="16"/>
      <c r="D37" s="16"/>
      <c r="E37" s="16"/>
      <c r="F37" s="16"/>
      <c r="G37" s="16"/>
      <c r="H37" s="16"/>
      <c r="I37" s="16"/>
      <c r="J37" s="16"/>
      <c r="K37" s="16"/>
    </row>
    <row r="38" spans="1:12" ht="15" customHeight="1">
      <c r="C38" s="16"/>
      <c r="D38" s="16"/>
      <c r="E38" s="16"/>
      <c r="F38" s="16"/>
      <c r="G38" s="16"/>
      <c r="H38" s="16"/>
      <c r="I38" s="16"/>
      <c r="J38" s="16"/>
      <c r="K38" s="16"/>
    </row>
    <row r="39" spans="1:12" ht="15" customHeight="1" thickBot="1">
      <c r="A39" s="8" t="s">
        <v>296</v>
      </c>
      <c r="C39" s="91">
        <f t="shared" ref="C39:J39" si="1">SUM(C9:C37)</f>
        <v>393779.26</v>
      </c>
      <c r="D39" s="91">
        <f t="shared" si="1"/>
        <v>6550</v>
      </c>
      <c r="E39" s="91">
        <f t="shared" si="1"/>
        <v>0</v>
      </c>
      <c r="F39" s="91">
        <f t="shared" si="1"/>
        <v>0</v>
      </c>
      <c r="G39" s="91">
        <f t="shared" si="1"/>
        <v>0</v>
      </c>
      <c r="H39" s="91">
        <f t="shared" si="1"/>
        <v>0</v>
      </c>
      <c r="I39" s="91">
        <f t="shared" si="1"/>
        <v>0</v>
      </c>
      <c r="J39" s="91">
        <f t="shared" si="1"/>
        <v>400329.26</v>
      </c>
      <c r="K39" s="16">
        <f>SUM(C39:I39)</f>
        <v>400329.26</v>
      </c>
      <c r="L39" s="169" t="s">
        <v>367</v>
      </c>
    </row>
    <row r="40" spans="1:12" ht="15" customHeight="1" thickTop="1">
      <c r="C40" s="67"/>
      <c r="D40" s="67"/>
      <c r="E40" s="67"/>
      <c r="F40" s="67"/>
      <c r="G40" s="67"/>
      <c r="H40" s="67"/>
      <c r="I40" s="67"/>
      <c r="J40" s="67"/>
      <c r="K40" s="16"/>
      <c r="L40" s="169"/>
    </row>
    <row r="41" spans="1:12" ht="15" customHeight="1">
      <c r="C41" s="67"/>
      <c r="D41" s="67"/>
      <c r="E41" s="67"/>
      <c r="F41" s="67"/>
      <c r="G41" s="67"/>
      <c r="H41" s="67"/>
      <c r="I41" s="67"/>
      <c r="J41" s="67"/>
      <c r="K41" s="16"/>
      <c r="L41" s="169"/>
    </row>
    <row r="42" spans="1:12" ht="15" customHeight="1">
      <c r="C42" s="16"/>
      <c r="D42" s="16"/>
      <c r="E42" s="16"/>
      <c r="F42" s="16"/>
      <c r="G42" s="16"/>
      <c r="H42" s="16"/>
      <c r="I42" s="16"/>
      <c r="J42" s="16"/>
    </row>
    <row r="43" spans="1:12" ht="24.95" customHeight="1">
      <c r="A43" s="262" t="s">
        <v>701</v>
      </c>
      <c r="B43" s="259"/>
      <c r="C43" s="259"/>
      <c r="D43" s="259"/>
      <c r="E43" s="259"/>
      <c r="F43" s="259"/>
      <c r="G43" s="259"/>
      <c r="H43" s="259"/>
      <c r="I43" s="259"/>
      <c r="J43" s="259"/>
    </row>
    <row r="44" spans="1:12" ht="15" customHeight="1">
      <c r="A44" s="11"/>
      <c r="C44" s="75" t="s">
        <v>133</v>
      </c>
      <c r="D44" s="60" t="s">
        <v>133</v>
      </c>
      <c r="E44" s="60" t="s">
        <v>133</v>
      </c>
      <c r="F44" s="60" t="s">
        <v>133</v>
      </c>
      <c r="G44" s="60" t="s">
        <v>133</v>
      </c>
      <c r="H44" s="60"/>
      <c r="I44" s="60" t="s">
        <v>133</v>
      </c>
      <c r="J44" s="75" t="s">
        <v>133</v>
      </c>
    </row>
    <row r="45" spans="1:12" ht="15" customHeight="1">
      <c r="A45" s="11"/>
      <c r="B45" s="190" t="s">
        <v>412</v>
      </c>
      <c r="C45" s="12" t="s">
        <v>287</v>
      </c>
      <c r="D45" s="60" t="s">
        <v>286</v>
      </c>
      <c r="E45" s="60" t="s">
        <v>290</v>
      </c>
      <c r="F45" s="170" t="s">
        <v>76</v>
      </c>
      <c r="G45" s="170" t="s">
        <v>77</v>
      </c>
      <c r="H45" s="170" t="s">
        <v>288</v>
      </c>
      <c r="I45" s="12" t="s">
        <v>342</v>
      </c>
      <c r="J45" s="12" t="s">
        <v>289</v>
      </c>
    </row>
    <row r="46" spans="1:12" ht="15" customHeight="1">
      <c r="A46" s="11"/>
      <c r="C46" s="75">
        <v>43647</v>
      </c>
      <c r="D46" s="12" t="s">
        <v>133</v>
      </c>
      <c r="E46" s="12" t="s">
        <v>133</v>
      </c>
      <c r="F46" s="12" t="s">
        <v>133</v>
      </c>
      <c r="G46" s="12" t="s">
        <v>133</v>
      </c>
      <c r="H46" s="12"/>
      <c r="I46" s="60" t="s">
        <v>288</v>
      </c>
      <c r="J46" s="75">
        <v>44012</v>
      </c>
    </row>
    <row r="47" spans="1:12" ht="15" customHeight="1">
      <c r="A47" s="11"/>
      <c r="C47" s="75"/>
      <c r="D47" s="12"/>
      <c r="E47" s="12"/>
      <c r="F47" s="12"/>
      <c r="G47" s="12"/>
      <c r="H47" s="12"/>
      <c r="I47" s="12"/>
      <c r="J47" s="75"/>
    </row>
    <row r="48" spans="1:12" ht="15" customHeight="1">
      <c r="A48" s="11"/>
      <c r="C48" s="75"/>
      <c r="D48" s="12" t="s">
        <v>133</v>
      </c>
      <c r="E48" s="12"/>
      <c r="F48" s="12"/>
      <c r="G48" s="12" t="s">
        <v>133</v>
      </c>
      <c r="H48" s="12"/>
      <c r="I48" s="12"/>
      <c r="J48" s="75"/>
    </row>
    <row r="49" spans="1:11" ht="15" customHeight="1">
      <c r="A49" s="52" t="s">
        <v>298</v>
      </c>
      <c r="B49" s="124"/>
      <c r="C49" s="16"/>
      <c r="D49" s="16"/>
      <c r="E49" s="16"/>
      <c r="F49" s="16"/>
      <c r="G49" s="16"/>
      <c r="H49" s="16"/>
      <c r="I49" s="16"/>
      <c r="J49" s="16"/>
    </row>
    <row r="50" spans="1:11" ht="15" customHeight="1">
      <c r="A50" s="87" t="s">
        <v>208</v>
      </c>
      <c r="B50" s="124"/>
      <c r="C50" s="16"/>
      <c r="D50" s="16"/>
      <c r="E50" s="16"/>
      <c r="F50" s="16"/>
      <c r="G50" s="16"/>
      <c r="H50" s="16"/>
      <c r="I50" s="16"/>
      <c r="J50" s="16"/>
    </row>
    <row r="51" spans="1:11" ht="15" customHeight="1">
      <c r="A51" s="8" t="s">
        <v>50</v>
      </c>
      <c r="B51" s="191" t="s">
        <v>486</v>
      </c>
      <c r="C51" s="16">
        <v>172.95999999999998</v>
      </c>
      <c r="D51" s="16">
        <v>55.67</v>
      </c>
      <c r="E51" s="16"/>
      <c r="F51" s="16"/>
      <c r="G51" s="16"/>
      <c r="H51" s="16"/>
      <c r="I51" s="16"/>
      <c r="J51" s="16">
        <f t="shared" ref="J51:J83" si="2">SUM(C51:I51)</f>
        <v>228.63</v>
      </c>
      <c r="K51" s="16"/>
    </row>
    <row r="52" spans="1:11" ht="15" customHeight="1">
      <c r="B52" s="191"/>
      <c r="C52" s="16"/>
      <c r="D52" s="16"/>
      <c r="E52" s="16"/>
      <c r="F52" s="16"/>
      <c r="G52" s="16"/>
      <c r="H52" s="16"/>
      <c r="I52" s="16"/>
      <c r="J52" s="16"/>
      <c r="K52" s="16"/>
    </row>
    <row r="53" spans="1:11" ht="15" customHeight="1">
      <c r="A53" t="s">
        <v>472</v>
      </c>
      <c r="B53" s="191"/>
      <c r="C53" s="16"/>
      <c r="D53" s="16"/>
      <c r="E53" s="16"/>
      <c r="F53" s="16"/>
      <c r="G53" s="16"/>
      <c r="H53" s="16"/>
      <c r="I53" s="16"/>
      <c r="J53" s="16"/>
      <c r="K53" s="16"/>
    </row>
    <row r="54" spans="1:11" ht="15" customHeight="1">
      <c r="A54" s="8" t="s">
        <v>59</v>
      </c>
      <c r="B54" s="191" t="s">
        <v>487</v>
      </c>
      <c r="C54" s="16">
        <v>2524.4899999999998</v>
      </c>
      <c r="D54" s="16">
        <v>1184.0899999999999</v>
      </c>
      <c r="E54" s="16">
        <v>-877.44</v>
      </c>
      <c r="F54" s="16"/>
      <c r="G54" s="16"/>
      <c r="H54" s="16"/>
      <c r="I54" s="16"/>
      <c r="J54" s="16">
        <f t="shared" si="2"/>
        <v>2831.14</v>
      </c>
      <c r="K54" s="16"/>
    </row>
    <row r="55" spans="1:11" ht="15" customHeight="1">
      <c r="A55" s="8" t="s">
        <v>60</v>
      </c>
      <c r="B55" s="191" t="s">
        <v>488</v>
      </c>
      <c r="C55" s="16">
        <v>1207.82</v>
      </c>
      <c r="D55" s="16">
        <v>426.37</v>
      </c>
      <c r="E55" s="16"/>
      <c r="F55" s="16"/>
      <c r="G55" s="16"/>
      <c r="H55" s="16"/>
      <c r="I55" s="16"/>
      <c r="J55" s="16">
        <f t="shared" si="2"/>
        <v>1634.19</v>
      </c>
      <c r="K55" s="16"/>
    </row>
    <row r="56" spans="1:11" ht="15" customHeight="1">
      <c r="A56" t="s">
        <v>70</v>
      </c>
      <c r="B56" s="191" t="s">
        <v>489</v>
      </c>
      <c r="C56" s="16">
        <v>127.53000000000041</v>
      </c>
      <c r="D56" s="16">
        <f>57.99+450</f>
        <v>507.99</v>
      </c>
      <c r="E56" s="16">
        <v>-598.86</v>
      </c>
      <c r="F56" s="16"/>
      <c r="G56" s="16"/>
      <c r="H56" s="16"/>
      <c r="I56" s="16"/>
      <c r="J56" s="16">
        <f t="shared" si="2"/>
        <v>36.660000000000423</v>
      </c>
      <c r="K56" s="16"/>
    </row>
    <row r="57" spans="1:11" ht="15" customHeight="1">
      <c r="A57" s="8" t="s">
        <v>61</v>
      </c>
      <c r="B57" s="191" t="s">
        <v>490</v>
      </c>
      <c r="C57" s="16">
        <v>81.080000000000041</v>
      </c>
      <c r="D57" s="16">
        <v>40.76</v>
      </c>
      <c r="E57" s="16"/>
      <c r="F57" s="16"/>
      <c r="G57" s="16"/>
      <c r="H57" s="16"/>
      <c r="I57" s="16"/>
      <c r="J57" s="16">
        <f t="shared" si="2"/>
        <v>121.84000000000003</v>
      </c>
      <c r="K57" s="16"/>
    </row>
    <row r="58" spans="1:11" ht="15" customHeight="1">
      <c r="A58" s="8" t="s">
        <v>62</v>
      </c>
      <c r="B58" s="191" t="s">
        <v>491</v>
      </c>
      <c r="C58" s="16">
        <v>5.6899999999999995</v>
      </c>
      <c r="D58" s="16">
        <v>2.79</v>
      </c>
      <c r="E58" s="16"/>
      <c r="F58" s="16"/>
      <c r="G58" s="16"/>
      <c r="H58" s="16"/>
      <c r="I58" s="70"/>
      <c r="J58" s="16">
        <f t="shared" si="2"/>
        <v>8.48</v>
      </c>
      <c r="K58" s="16"/>
    </row>
    <row r="59" spans="1:11" ht="15" customHeight="1">
      <c r="A59" s="8" t="s">
        <v>63</v>
      </c>
      <c r="B59" s="191" t="s">
        <v>492</v>
      </c>
      <c r="C59" s="16">
        <v>1307.7099999999987</v>
      </c>
      <c r="D59" s="16">
        <v>214.04</v>
      </c>
      <c r="E59" s="16">
        <v>-640</v>
      </c>
      <c r="F59" s="16"/>
      <c r="G59" s="16"/>
      <c r="H59" s="16"/>
      <c r="I59" s="16"/>
      <c r="J59" s="16">
        <f t="shared" si="2"/>
        <v>881.74999999999864</v>
      </c>
      <c r="K59" s="16"/>
    </row>
    <row r="60" spans="1:11" ht="15" customHeight="1">
      <c r="A60" t="s">
        <v>466</v>
      </c>
      <c r="B60" s="191" t="s">
        <v>493</v>
      </c>
      <c r="C60" s="67">
        <v>15.65</v>
      </c>
      <c r="D60" s="16">
        <v>5.55</v>
      </c>
      <c r="E60" s="16"/>
      <c r="F60" s="16"/>
      <c r="G60" s="16"/>
      <c r="H60" s="16"/>
      <c r="I60" s="16"/>
      <c r="J60" s="16">
        <f t="shared" si="2"/>
        <v>21.2</v>
      </c>
      <c r="K60" s="16"/>
    </row>
    <row r="61" spans="1:11" ht="15" customHeight="1">
      <c r="A61" s="87" t="s">
        <v>350</v>
      </c>
      <c r="B61" s="191" t="s">
        <v>494</v>
      </c>
      <c r="C61" s="67">
        <v>106.07</v>
      </c>
      <c r="D61" s="16">
        <v>2.4700000000000002</v>
      </c>
      <c r="E61" s="16"/>
      <c r="F61" s="16"/>
      <c r="G61" s="16"/>
      <c r="H61" s="16"/>
      <c r="I61" s="16"/>
      <c r="J61" s="16">
        <f t="shared" si="2"/>
        <v>108.53999999999999</v>
      </c>
      <c r="K61" s="16"/>
    </row>
    <row r="62" spans="1:11" ht="15" customHeight="1">
      <c r="A62" s="87" t="s">
        <v>351</v>
      </c>
      <c r="B62" s="191" t="s">
        <v>495</v>
      </c>
      <c r="C62" s="67">
        <v>3.870000000000001</v>
      </c>
      <c r="D62" s="16">
        <v>3.34</v>
      </c>
      <c r="E62" s="16"/>
      <c r="F62" s="16"/>
      <c r="G62" s="16"/>
      <c r="H62" s="16"/>
      <c r="I62" s="16"/>
      <c r="J62" s="16">
        <f t="shared" si="2"/>
        <v>7.2100000000000009</v>
      </c>
      <c r="K62" s="16"/>
    </row>
    <row r="63" spans="1:11" ht="15" customHeight="1">
      <c r="A63" t="s">
        <v>349</v>
      </c>
      <c r="B63" s="191" t="s">
        <v>496</v>
      </c>
      <c r="C63" s="67">
        <v>4648.25</v>
      </c>
      <c r="D63" s="16">
        <v>134.13</v>
      </c>
      <c r="E63" s="16">
        <v>-600</v>
      </c>
      <c r="F63" s="16"/>
      <c r="G63" s="16"/>
      <c r="H63" s="16"/>
      <c r="I63" s="16"/>
      <c r="J63" s="16">
        <f t="shared" si="2"/>
        <v>4182.38</v>
      </c>
      <c r="K63" s="16"/>
    </row>
    <row r="64" spans="1:11" ht="15" customHeight="1">
      <c r="A64" s="87" t="s">
        <v>375</v>
      </c>
      <c r="B64" s="191" t="s">
        <v>497</v>
      </c>
      <c r="C64" s="67">
        <v>6.87</v>
      </c>
      <c r="D64" s="16">
        <v>3.33</v>
      </c>
      <c r="E64" s="16"/>
      <c r="F64" s="16"/>
      <c r="G64" s="16"/>
      <c r="H64" s="16"/>
      <c r="I64" s="16"/>
      <c r="J64" s="16">
        <f t="shared" si="2"/>
        <v>10.199999999999999</v>
      </c>
      <c r="K64" s="16"/>
    </row>
    <row r="65" spans="1:11" ht="15" customHeight="1">
      <c r="A65"/>
      <c r="B65" s="191"/>
      <c r="C65" s="67"/>
      <c r="D65" s="16"/>
      <c r="E65" s="16"/>
      <c r="F65" s="16"/>
      <c r="G65" s="16"/>
      <c r="H65" s="16"/>
      <c r="I65" s="16"/>
      <c r="J65" s="16"/>
      <c r="K65" s="16"/>
    </row>
    <row r="66" spans="1:11" ht="15" customHeight="1">
      <c r="A66" t="s">
        <v>473</v>
      </c>
      <c r="B66" s="191"/>
      <c r="C66" s="67"/>
      <c r="D66" s="16"/>
      <c r="E66" s="16"/>
      <c r="F66" s="16"/>
      <c r="G66" s="16"/>
      <c r="H66" s="16"/>
      <c r="I66" s="16"/>
      <c r="J66" s="16"/>
      <c r="K66" s="16"/>
    </row>
    <row r="67" spans="1:11" ht="15" customHeight="1">
      <c r="A67" s="8" t="s">
        <v>47</v>
      </c>
      <c r="B67" s="191" t="s">
        <v>498</v>
      </c>
      <c r="C67" s="16">
        <v>2240.71</v>
      </c>
      <c r="D67" s="16">
        <v>12.26</v>
      </c>
      <c r="E67" s="16"/>
      <c r="F67" s="16"/>
      <c r="G67" s="16"/>
      <c r="H67" s="16"/>
      <c r="I67" s="16"/>
      <c r="J67" s="16">
        <f t="shared" si="2"/>
        <v>2252.9700000000003</v>
      </c>
      <c r="K67" s="16"/>
    </row>
    <row r="68" spans="1:11" ht="15" customHeight="1">
      <c r="A68" s="8" t="s">
        <v>48</v>
      </c>
      <c r="B68" s="191" t="s">
        <v>499</v>
      </c>
      <c r="C68" s="16">
        <v>200.84</v>
      </c>
      <c r="D68" s="16">
        <v>6.56</v>
      </c>
      <c r="E68" s="16"/>
      <c r="F68" s="16"/>
      <c r="G68" s="16"/>
      <c r="H68" s="16"/>
      <c r="I68" s="16"/>
      <c r="J68" s="16">
        <f t="shared" si="2"/>
        <v>207.4</v>
      </c>
      <c r="K68" s="16"/>
    </row>
    <row r="69" spans="1:11" ht="15" customHeight="1">
      <c r="A69" s="8" t="s">
        <v>49</v>
      </c>
      <c r="B69" s="191" t="s">
        <v>500</v>
      </c>
      <c r="C69" s="16">
        <v>3112.32</v>
      </c>
      <c r="D69" s="16">
        <v>27.98</v>
      </c>
      <c r="E69" s="16"/>
      <c r="F69" s="16"/>
      <c r="G69" s="16"/>
      <c r="H69" s="16"/>
      <c r="I69" s="16"/>
      <c r="J69" s="16">
        <f t="shared" si="2"/>
        <v>3140.3</v>
      </c>
      <c r="K69" s="16"/>
    </row>
    <row r="70" spans="1:11" ht="15" customHeight="1">
      <c r="A70" s="8" t="s">
        <v>51</v>
      </c>
      <c r="B70" s="191" t="s">
        <v>501</v>
      </c>
      <c r="C70" s="16">
        <v>5499.29</v>
      </c>
      <c r="D70" s="16">
        <v>32.83</v>
      </c>
      <c r="E70" s="16"/>
      <c r="F70" s="16"/>
      <c r="G70" s="16"/>
      <c r="H70" s="16"/>
      <c r="I70" s="16"/>
      <c r="J70" s="16">
        <f t="shared" si="2"/>
        <v>5532.12</v>
      </c>
      <c r="K70" s="16"/>
    </row>
    <row r="71" spans="1:11" ht="15" customHeight="1">
      <c r="A71" s="8" t="s">
        <v>52</v>
      </c>
      <c r="B71" s="191" t="s">
        <v>502</v>
      </c>
      <c r="C71" s="16">
        <v>2213.44</v>
      </c>
      <c r="D71" s="16">
        <v>15.59</v>
      </c>
      <c r="E71" s="16"/>
      <c r="F71" s="16"/>
      <c r="G71" s="16"/>
      <c r="H71" s="16"/>
      <c r="I71" s="16"/>
      <c r="J71" s="16">
        <f t="shared" si="2"/>
        <v>2229.0300000000002</v>
      </c>
      <c r="K71" s="16"/>
    </row>
    <row r="72" spans="1:11" ht="15" customHeight="1">
      <c r="A72" s="8" t="s">
        <v>53</v>
      </c>
      <c r="B72" s="191" t="s">
        <v>503</v>
      </c>
      <c r="C72" s="16">
        <v>1178.8699999999997</v>
      </c>
      <c r="D72" s="16">
        <v>7.18</v>
      </c>
      <c r="E72" s="16"/>
      <c r="F72" s="16"/>
      <c r="G72" s="16"/>
      <c r="H72" s="16"/>
      <c r="I72" s="16"/>
      <c r="J72" s="16">
        <f t="shared" si="2"/>
        <v>1186.0499999999997</v>
      </c>
      <c r="K72" s="16"/>
    </row>
    <row r="73" spans="1:11" ht="15" customHeight="1">
      <c r="A73" s="8" t="s">
        <v>54</v>
      </c>
      <c r="B73" s="191" t="s">
        <v>504</v>
      </c>
      <c r="C73" s="16">
        <v>4509.71</v>
      </c>
      <c r="D73" s="16">
        <v>27.41</v>
      </c>
      <c r="E73" s="16"/>
      <c r="F73" s="16"/>
      <c r="G73" s="16"/>
      <c r="H73" s="16"/>
      <c r="I73" s="16"/>
      <c r="J73" s="16">
        <f t="shared" si="2"/>
        <v>4537.12</v>
      </c>
      <c r="K73" s="16"/>
    </row>
    <row r="74" spans="1:11" ht="15" customHeight="1">
      <c r="A74" s="8" t="s">
        <v>55</v>
      </c>
      <c r="B74" s="191" t="s">
        <v>506</v>
      </c>
      <c r="C74" s="16">
        <v>34036.829999999994</v>
      </c>
      <c r="D74" s="16">
        <v>213.62</v>
      </c>
      <c r="E74" s="16"/>
      <c r="F74" s="16"/>
      <c r="G74" s="16"/>
      <c r="H74" s="16"/>
      <c r="I74" s="16"/>
      <c r="J74" s="16">
        <f t="shared" si="2"/>
        <v>34250.449999999997</v>
      </c>
      <c r="K74" s="16"/>
    </row>
    <row r="75" spans="1:11" ht="15" customHeight="1">
      <c r="A75" s="8" t="s">
        <v>56</v>
      </c>
      <c r="B75" s="191" t="s">
        <v>505</v>
      </c>
      <c r="C75" s="16">
        <v>1610.0299999999995</v>
      </c>
      <c r="D75" s="16">
        <v>10.3</v>
      </c>
      <c r="E75" s="16"/>
      <c r="F75" s="16"/>
      <c r="G75" s="16"/>
      <c r="H75" s="16"/>
      <c r="I75" s="16"/>
      <c r="J75" s="16">
        <f t="shared" si="2"/>
        <v>1620.3299999999995</v>
      </c>
      <c r="K75" s="16"/>
    </row>
    <row r="76" spans="1:11" ht="15" customHeight="1">
      <c r="A76" s="87" t="s">
        <v>762</v>
      </c>
      <c r="B76" s="191" t="s">
        <v>508</v>
      </c>
      <c r="C76" s="16">
        <v>1691.17</v>
      </c>
      <c r="D76" s="16">
        <v>14.72</v>
      </c>
      <c r="E76" s="16"/>
      <c r="F76" s="16"/>
      <c r="G76" s="16"/>
      <c r="H76" s="16"/>
      <c r="I76" s="16"/>
      <c r="J76" s="16">
        <f t="shared" si="2"/>
        <v>1705.89</v>
      </c>
      <c r="K76" s="16"/>
    </row>
    <row r="77" spans="1:11" ht="15" customHeight="1">
      <c r="A77" s="8" t="s">
        <v>58</v>
      </c>
      <c r="B77" s="191" t="s">
        <v>507</v>
      </c>
      <c r="C77" s="16">
        <v>1348.36</v>
      </c>
      <c r="D77" s="16">
        <v>10.09</v>
      </c>
      <c r="E77" s="16"/>
      <c r="F77" s="16"/>
      <c r="G77" s="16"/>
      <c r="H77" s="16"/>
      <c r="I77" s="16"/>
      <c r="J77" s="16">
        <f t="shared" si="2"/>
        <v>1358.4499999999998</v>
      </c>
      <c r="K77" s="16"/>
    </row>
    <row r="78" spans="1:11" ht="15" customHeight="1">
      <c r="A78" s="8" t="s">
        <v>64</v>
      </c>
      <c r="B78" s="191" t="s">
        <v>509</v>
      </c>
      <c r="C78" s="16">
        <v>18023.34</v>
      </c>
      <c r="D78" s="16">
        <v>98.65</v>
      </c>
      <c r="E78" s="16"/>
      <c r="F78" s="16"/>
      <c r="G78" s="16"/>
      <c r="H78" s="16"/>
      <c r="I78" s="16"/>
      <c r="J78" s="16">
        <f t="shared" si="2"/>
        <v>18121.990000000002</v>
      </c>
      <c r="K78" s="16"/>
    </row>
    <row r="79" spans="1:11" ht="15" customHeight="1">
      <c r="A79" s="8" t="s">
        <v>65</v>
      </c>
      <c r="B79" s="191" t="s">
        <v>510</v>
      </c>
      <c r="C79" s="16">
        <v>1868.3399999999997</v>
      </c>
      <c r="D79" s="16">
        <v>10.199999999999999</v>
      </c>
      <c r="E79" s="16"/>
      <c r="F79" s="16"/>
      <c r="G79" s="16"/>
      <c r="H79" s="16"/>
      <c r="I79" s="16"/>
      <c r="J79" s="16">
        <f t="shared" si="2"/>
        <v>1878.5399999999997</v>
      </c>
      <c r="K79" s="16"/>
    </row>
    <row r="80" spans="1:11" ht="15" customHeight="1">
      <c r="A80" s="8" t="s">
        <v>66</v>
      </c>
      <c r="B80" s="191" t="s">
        <v>511</v>
      </c>
      <c r="C80" s="16">
        <v>2277.7799999999993</v>
      </c>
      <c r="D80" s="16">
        <v>39.83</v>
      </c>
      <c r="E80" s="16"/>
      <c r="F80" s="16"/>
      <c r="G80" s="16"/>
      <c r="H80" s="16"/>
      <c r="I80" s="16"/>
      <c r="J80" s="16">
        <f t="shared" si="2"/>
        <v>2317.6099999999992</v>
      </c>
      <c r="K80" s="16"/>
    </row>
    <row r="81" spans="1:35" ht="15" customHeight="1">
      <c r="A81" s="8" t="s">
        <v>67</v>
      </c>
      <c r="B81" s="191" t="s">
        <v>512</v>
      </c>
      <c r="C81" s="16">
        <v>966.88999999999987</v>
      </c>
      <c r="D81" s="16">
        <v>5.28</v>
      </c>
      <c r="E81" s="16"/>
      <c r="F81" s="16"/>
      <c r="G81" s="16"/>
      <c r="H81" s="16"/>
      <c r="I81" s="16"/>
      <c r="J81" s="16">
        <f t="shared" si="2"/>
        <v>972.16999999999985</v>
      </c>
      <c r="K81" s="16"/>
    </row>
    <row r="82" spans="1:35" ht="15" customHeight="1">
      <c r="A82" s="8" t="s">
        <v>68</v>
      </c>
      <c r="B82" s="191" t="s">
        <v>513</v>
      </c>
      <c r="C82" s="16">
        <v>541.87</v>
      </c>
      <c r="D82" s="16">
        <v>2.99</v>
      </c>
      <c r="E82" s="16"/>
      <c r="F82" s="16"/>
      <c r="G82" s="16"/>
      <c r="H82" s="16"/>
      <c r="I82" s="16"/>
      <c r="J82" s="16">
        <f t="shared" si="2"/>
        <v>544.86</v>
      </c>
      <c r="K82" s="16"/>
    </row>
    <row r="83" spans="1:35" ht="15" customHeight="1">
      <c r="A83" s="8" t="s">
        <v>69</v>
      </c>
      <c r="B83" s="191" t="s">
        <v>514</v>
      </c>
      <c r="C83" s="16">
        <v>305.23999999999995</v>
      </c>
      <c r="D83" s="16">
        <v>5.83</v>
      </c>
      <c r="E83" s="16"/>
      <c r="F83" s="16"/>
      <c r="G83" s="16"/>
      <c r="H83" s="16"/>
      <c r="I83" s="16"/>
      <c r="J83" s="16">
        <f t="shared" si="2"/>
        <v>311.06999999999994</v>
      </c>
      <c r="K83" s="16"/>
    </row>
    <row r="84" spans="1:35" ht="15" customHeight="1">
      <c r="B84" s="191"/>
      <c r="C84" s="16"/>
      <c r="D84" s="16"/>
      <c r="E84" s="16"/>
      <c r="F84" s="16"/>
      <c r="G84" s="16"/>
      <c r="H84" s="16"/>
      <c r="I84" s="16"/>
      <c r="J84" s="16"/>
      <c r="K84" s="16"/>
    </row>
    <row r="85" spans="1:35" ht="15" customHeight="1">
      <c r="B85" s="191"/>
      <c r="C85" s="16"/>
      <c r="D85" s="16"/>
      <c r="E85" s="16"/>
      <c r="F85" s="16"/>
      <c r="G85" s="16"/>
      <c r="H85" s="16"/>
      <c r="I85" s="16"/>
      <c r="J85" s="16"/>
      <c r="K85" s="16"/>
    </row>
    <row r="86" spans="1:35" ht="15" customHeight="1" thickBot="1">
      <c r="A86" s="8" t="s">
        <v>299</v>
      </c>
      <c r="C86" s="91">
        <f t="shared" ref="C86:J86" si="3">SUM(C50:C83)</f>
        <v>91833.01999999999</v>
      </c>
      <c r="D86" s="91">
        <f t="shared" si="3"/>
        <v>3121.85</v>
      </c>
      <c r="E86" s="91">
        <f t="shared" si="3"/>
        <v>-2716.3</v>
      </c>
      <c r="F86" s="91">
        <f t="shared" si="3"/>
        <v>0</v>
      </c>
      <c r="G86" s="91">
        <f t="shared" si="3"/>
        <v>0</v>
      </c>
      <c r="H86" s="91">
        <f t="shared" si="3"/>
        <v>0</v>
      </c>
      <c r="I86" s="91">
        <f t="shared" si="3"/>
        <v>0</v>
      </c>
      <c r="J86" s="91">
        <f t="shared" si="3"/>
        <v>92238.569999999992</v>
      </c>
      <c r="K86" s="16">
        <f>SUM(C86:I86)</f>
        <v>92238.569999999992</v>
      </c>
      <c r="L86" s="169" t="s">
        <v>367</v>
      </c>
    </row>
    <row r="87" spans="1:35" ht="15" customHeight="1" thickTop="1">
      <c r="C87" s="16"/>
      <c r="D87" s="16"/>
      <c r="E87" s="16"/>
      <c r="F87" s="16"/>
      <c r="G87" s="16"/>
      <c r="H87" s="16"/>
      <c r="I87" s="16"/>
      <c r="J87" s="16"/>
      <c r="K87" s="16"/>
      <c r="L87" s="169"/>
    </row>
    <row r="88" spans="1:35" ht="15" customHeight="1">
      <c r="K88" s="16"/>
      <c r="L88" s="169"/>
    </row>
    <row r="90" spans="1:35" ht="24.95" customHeight="1">
      <c r="C90" s="173"/>
      <c r="D90" s="173"/>
      <c r="E90" s="243" t="s">
        <v>702</v>
      </c>
      <c r="F90" s="173"/>
      <c r="G90" s="173"/>
    </row>
    <row r="91" spans="1:35" ht="15" customHeight="1">
      <c r="A91" s="11"/>
      <c r="C91" s="75" t="s">
        <v>133</v>
      </c>
      <c r="D91" s="60" t="s">
        <v>133</v>
      </c>
      <c r="E91" s="60" t="s">
        <v>133</v>
      </c>
      <c r="F91" s="60" t="s">
        <v>133</v>
      </c>
      <c r="G91" s="60" t="s">
        <v>133</v>
      </c>
      <c r="H91" s="60"/>
      <c r="I91" s="60" t="s">
        <v>133</v>
      </c>
      <c r="J91" s="75" t="s">
        <v>133</v>
      </c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</row>
    <row r="92" spans="1:35" ht="15" customHeight="1">
      <c r="A92" s="11"/>
      <c r="B92" s="190" t="s">
        <v>412</v>
      </c>
      <c r="C92" s="12" t="s">
        <v>287</v>
      </c>
      <c r="D92" s="60" t="s">
        <v>286</v>
      </c>
      <c r="E92" s="60" t="s">
        <v>290</v>
      </c>
      <c r="F92" s="170" t="s">
        <v>76</v>
      </c>
      <c r="G92" s="170" t="s">
        <v>77</v>
      </c>
      <c r="H92" s="170" t="s">
        <v>288</v>
      </c>
      <c r="I92" s="60" t="s">
        <v>342</v>
      </c>
      <c r="J92" s="12" t="s">
        <v>289</v>
      </c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</row>
    <row r="93" spans="1:35" ht="15" customHeight="1">
      <c r="A93" s="11"/>
      <c r="C93" s="75">
        <v>43647</v>
      </c>
      <c r="D93" s="12" t="s">
        <v>133</v>
      </c>
      <c r="E93" s="12" t="s">
        <v>133</v>
      </c>
      <c r="F93" s="12" t="s">
        <v>133</v>
      </c>
      <c r="G93" s="12" t="s">
        <v>133</v>
      </c>
      <c r="H93" s="12"/>
      <c r="I93" s="75" t="s">
        <v>288</v>
      </c>
      <c r="J93" s="75">
        <v>44012</v>
      </c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</row>
    <row r="94" spans="1:35" ht="15" customHeight="1">
      <c r="A94" s="11"/>
      <c r="C94" s="75"/>
      <c r="D94" s="12"/>
      <c r="E94" s="12"/>
      <c r="F94" s="12"/>
      <c r="G94" s="12"/>
      <c r="H94" s="12"/>
      <c r="I94" s="12"/>
      <c r="J94" s="75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</row>
    <row r="95" spans="1:35" ht="15" customHeight="1">
      <c r="A95" s="11"/>
      <c r="C95" s="75"/>
      <c r="D95" s="12" t="s">
        <v>133</v>
      </c>
      <c r="E95" s="12"/>
      <c r="F95" s="12"/>
      <c r="G95" s="12" t="s">
        <v>133</v>
      </c>
      <c r="H95" s="12"/>
      <c r="I95" s="12"/>
      <c r="J95" s="75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</row>
    <row r="96" spans="1:35" s="42" customFormat="1" ht="15" customHeight="1">
      <c r="A96" s="52" t="s">
        <v>214</v>
      </c>
      <c r="B96" s="120"/>
      <c r="C96" s="195"/>
      <c r="D96" s="195"/>
      <c r="E96" s="195"/>
      <c r="F96" s="195"/>
      <c r="G96" s="195"/>
      <c r="H96" s="195"/>
      <c r="I96" s="195"/>
      <c r="J96" s="195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96"/>
      <c r="AH96" s="196"/>
      <c r="AI96" s="196"/>
    </row>
    <row r="97" spans="1:35" ht="15" customHeight="1">
      <c r="A97" s="8" t="s">
        <v>71</v>
      </c>
      <c r="B97" s="191" t="s">
        <v>516</v>
      </c>
      <c r="C97" s="67">
        <v>94670.3</v>
      </c>
      <c r="D97" s="67">
        <v>516.05999999999995</v>
      </c>
      <c r="E97" s="67">
        <v>-1364</v>
      </c>
      <c r="F97" s="67"/>
      <c r="G97" s="67"/>
      <c r="H97" s="67"/>
      <c r="I97" s="67"/>
      <c r="J97" s="67">
        <f>SUM(C97:I97)</f>
        <v>93822.36</v>
      </c>
      <c r="K97" s="16"/>
    </row>
    <row r="98" spans="1:35" ht="15" customHeight="1">
      <c r="A98" s="8" t="s">
        <v>78</v>
      </c>
      <c r="B98" s="191" t="s">
        <v>518</v>
      </c>
      <c r="C98" s="16">
        <v>822.59000000000015</v>
      </c>
      <c r="D98" s="16">
        <v>4.5199999999999996</v>
      </c>
      <c r="E98" s="16"/>
      <c r="F98" s="16"/>
      <c r="G98" s="16"/>
      <c r="H98" s="16"/>
      <c r="I98" s="16"/>
      <c r="J98" s="16">
        <f>SUM(C98:I98)</f>
        <v>827.11000000000013</v>
      </c>
      <c r="K98" s="16"/>
    </row>
    <row r="99" spans="1:35" ht="15" customHeight="1">
      <c r="A99" s="8" t="s">
        <v>73</v>
      </c>
      <c r="B99" s="191" t="s">
        <v>519</v>
      </c>
      <c r="C99" s="16">
        <v>12684.810000000003</v>
      </c>
      <c r="D99" s="16">
        <v>69.42</v>
      </c>
      <c r="E99" s="16"/>
      <c r="F99" s="16"/>
      <c r="G99" s="16"/>
      <c r="H99" s="16"/>
      <c r="I99" s="16"/>
      <c r="J99" s="16">
        <f>SUM(C99:I99)</f>
        <v>12754.230000000003</v>
      </c>
      <c r="K99" s="16"/>
    </row>
    <row r="100" spans="1:35" ht="15" customHeight="1">
      <c r="A100" s="8" t="s">
        <v>79</v>
      </c>
      <c r="B100" s="191" t="s">
        <v>520</v>
      </c>
      <c r="C100" s="16">
        <v>447.64</v>
      </c>
      <c r="D100" s="16">
        <f>2.49+145</f>
        <v>147.49</v>
      </c>
      <c r="E100" s="16"/>
      <c r="F100" s="16"/>
      <c r="G100" s="16"/>
      <c r="H100" s="16"/>
      <c r="I100" s="16"/>
      <c r="J100" s="16">
        <f>SUM(C100:I100)</f>
        <v>595.13</v>
      </c>
      <c r="K100" s="16"/>
    </row>
    <row r="101" spans="1:35" s="197" customFormat="1" ht="15" customHeight="1">
      <c r="A101" s="197" t="s">
        <v>80</v>
      </c>
      <c r="B101" s="199" t="s">
        <v>521</v>
      </c>
      <c r="C101" s="67">
        <v>5656.63</v>
      </c>
      <c r="D101" s="67">
        <f>30.98+246.24</f>
        <v>277.22000000000003</v>
      </c>
      <c r="E101" s="67"/>
      <c r="F101" s="67"/>
      <c r="G101" s="67"/>
      <c r="H101" s="67"/>
      <c r="I101" s="67"/>
      <c r="J101" s="67">
        <f>SUM(C101:I101)</f>
        <v>5933.85</v>
      </c>
      <c r="K101" s="67"/>
      <c r="L101" s="198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</row>
    <row r="102" spans="1:35" ht="15" customHeight="1">
      <c r="A102" s="8" t="s">
        <v>72</v>
      </c>
      <c r="B102" s="191" t="s">
        <v>522</v>
      </c>
      <c r="C102" s="16">
        <v>1496.1000000000001</v>
      </c>
      <c r="D102" s="16">
        <v>8.19</v>
      </c>
      <c r="E102" s="16"/>
      <c r="F102" s="16"/>
      <c r="G102" s="16"/>
      <c r="H102" s="16"/>
      <c r="I102" s="16"/>
      <c r="J102" s="16">
        <f t="shared" ref="J102" si="4">SUM(C102:I102)</f>
        <v>1504.2900000000002</v>
      </c>
      <c r="K102" s="16"/>
    </row>
    <row r="103" spans="1:35" ht="15" customHeight="1">
      <c r="A103" s="8" t="s">
        <v>74</v>
      </c>
      <c r="B103" s="191" t="s">
        <v>523</v>
      </c>
      <c r="C103" s="16">
        <v>4.9400000000096043</v>
      </c>
      <c r="D103" s="16"/>
      <c r="E103" s="16"/>
      <c r="F103" s="16"/>
      <c r="G103" s="16">
        <v>-4.9400000000000004</v>
      </c>
      <c r="H103" s="16"/>
      <c r="I103" s="16"/>
      <c r="J103" s="67">
        <f>SUM(C103:I103)</f>
        <v>9.6038732522174541E-12</v>
      </c>
      <c r="K103" s="16"/>
    </row>
    <row r="104" spans="1:35" ht="15" customHeight="1">
      <c r="A104" s="87" t="s">
        <v>515</v>
      </c>
      <c r="B104" s="191" t="s">
        <v>524</v>
      </c>
      <c r="C104" s="16">
        <v>825617.33</v>
      </c>
      <c r="D104" s="16">
        <v>27048.080000000002</v>
      </c>
      <c r="E104" s="16"/>
      <c r="F104" s="16">
        <v>200000</v>
      </c>
      <c r="G104" s="16"/>
      <c r="H104" s="16">
        <v>5987.95</v>
      </c>
      <c r="I104" s="16"/>
      <c r="J104" s="67">
        <f>SUM(C104:I104)</f>
        <v>1058653.3599999999</v>
      </c>
      <c r="K104" s="16"/>
    </row>
    <row r="105" spans="1:35" ht="15" customHeight="1">
      <c r="A105" s="8" t="s">
        <v>75</v>
      </c>
      <c r="B105" s="191" t="s">
        <v>525</v>
      </c>
      <c r="C105" s="16">
        <v>30768.530000000002</v>
      </c>
      <c r="D105" s="16">
        <f>148.27+4460.64</f>
        <v>4608.9100000000008</v>
      </c>
      <c r="E105" s="16">
        <f>-875-7699-25.98</f>
        <v>-8599.98</v>
      </c>
      <c r="F105" s="16"/>
      <c r="G105" s="16"/>
      <c r="H105" s="16"/>
      <c r="I105" s="16"/>
      <c r="J105" s="16">
        <f t="shared" ref="J105" si="5">SUM(C105:I105)</f>
        <v>26777.460000000003</v>
      </c>
      <c r="K105" s="16"/>
    </row>
    <row r="106" spans="1:35" ht="15" customHeight="1">
      <c r="A106" s="8" t="s">
        <v>240</v>
      </c>
      <c r="C106" s="51">
        <v>972168.87</v>
      </c>
      <c r="D106" s="51">
        <f t="shared" ref="D106:J106" si="6">SUM(D97:D105)</f>
        <v>32679.890000000003</v>
      </c>
      <c r="E106" s="51">
        <f t="shared" si="6"/>
        <v>-9963.98</v>
      </c>
      <c r="F106" s="51">
        <f t="shared" si="6"/>
        <v>200000</v>
      </c>
      <c r="G106" s="51">
        <f t="shared" si="6"/>
        <v>-4.9400000000000004</v>
      </c>
      <c r="H106" s="51">
        <f t="shared" si="6"/>
        <v>5987.95</v>
      </c>
      <c r="I106" s="51">
        <f t="shared" si="6"/>
        <v>0</v>
      </c>
      <c r="J106" s="51">
        <f t="shared" si="6"/>
        <v>1200867.7899999998</v>
      </c>
      <c r="K106" s="16"/>
    </row>
    <row r="107" spans="1:35" ht="15" customHeight="1"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1:35" ht="15" customHeight="1">
      <c r="A108" s="7" t="s">
        <v>295</v>
      </c>
      <c r="B108" s="119"/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1:35" ht="15" customHeight="1">
      <c r="A109" s="8" t="s">
        <v>325</v>
      </c>
      <c r="B109" s="191" t="s">
        <v>517</v>
      </c>
      <c r="C109" s="16">
        <v>2556177.29</v>
      </c>
      <c r="D109" s="16">
        <v>47626.03</v>
      </c>
      <c r="E109" s="16"/>
      <c r="F109" s="16">
        <v>134731</v>
      </c>
      <c r="G109" s="16"/>
      <c r="H109" s="16"/>
      <c r="I109" s="16"/>
      <c r="J109" s="16">
        <f>SUM(C109:I109)</f>
        <v>2738534.32</v>
      </c>
      <c r="K109" s="16"/>
    </row>
    <row r="110" spans="1:35" ht="15" customHeight="1">
      <c r="A110" s="87" t="s">
        <v>726</v>
      </c>
      <c r="B110" s="191" t="s">
        <v>727</v>
      </c>
      <c r="C110" s="16">
        <v>684818.04</v>
      </c>
      <c r="D110" s="16">
        <v>18529.29</v>
      </c>
      <c r="E110" s="16"/>
      <c r="F110" s="16">
        <v>585000</v>
      </c>
      <c r="G110" s="16"/>
      <c r="H110" s="16"/>
      <c r="I110" s="16"/>
      <c r="J110" s="16">
        <f>SUM(C110:I110)</f>
        <v>1288347.33</v>
      </c>
      <c r="K110" s="16"/>
    </row>
    <row r="111" spans="1:35" ht="15" customHeight="1">
      <c r="A111" s="8" t="s">
        <v>297</v>
      </c>
      <c r="C111" s="51">
        <v>3240995.33</v>
      </c>
      <c r="D111" s="51">
        <f t="shared" ref="D111:J111" si="7">SUM(D109:D110)</f>
        <v>66155.320000000007</v>
      </c>
      <c r="E111" s="51">
        <f t="shared" si="7"/>
        <v>0</v>
      </c>
      <c r="F111" s="51">
        <f t="shared" si="7"/>
        <v>719731</v>
      </c>
      <c r="G111" s="51">
        <f t="shared" si="7"/>
        <v>0</v>
      </c>
      <c r="H111" s="51">
        <f t="shared" si="7"/>
        <v>0</v>
      </c>
      <c r="I111" s="51">
        <f t="shared" si="7"/>
        <v>0</v>
      </c>
      <c r="J111" s="51">
        <f t="shared" si="7"/>
        <v>4026881.65</v>
      </c>
      <c r="K111" s="16"/>
    </row>
    <row r="112" spans="1:35" ht="15" customHeight="1"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1:35" ht="15" customHeight="1" thickBot="1">
      <c r="A113" t="s">
        <v>458</v>
      </c>
      <c r="C113" s="91">
        <f t="shared" ref="C113:J113" si="8">+C106+C111</f>
        <v>4213164.2</v>
      </c>
      <c r="D113" s="91">
        <f t="shared" si="8"/>
        <v>98835.21</v>
      </c>
      <c r="E113" s="91">
        <f t="shared" si="8"/>
        <v>-9963.98</v>
      </c>
      <c r="F113" s="91">
        <f t="shared" si="8"/>
        <v>919731</v>
      </c>
      <c r="G113" s="91">
        <f t="shared" si="8"/>
        <v>-4.9400000000000004</v>
      </c>
      <c r="H113" s="91">
        <f t="shared" si="8"/>
        <v>5987.95</v>
      </c>
      <c r="I113" s="91">
        <f t="shared" si="8"/>
        <v>0</v>
      </c>
      <c r="J113" s="91">
        <f t="shared" si="8"/>
        <v>5227749.4399999995</v>
      </c>
      <c r="K113" s="16">
        <f>SUM(C113:I113)</f>
        <v>5227749.4399999995</v>
      </c>
      <c r="L113" s="169" t="s">
        <v>367</v>
      </c>
    </row>
    <row r="114" spans="1:35" ht="15" customHeight="1" thickTop="1">
      <c r="C114" s="67"/>
      <c r="D114" s="67"/>
      <c r="E114" s="67"/>
      <c r="F114" s="67"/>
      <c r="G114" s="67"/>
      <c r="H114" s="67"/>
      <c r="I114" s="67"/>
      <c r="J114" s="67"/>
      <c r="K114" s="16"/>
      <c r="L114" s="169"/>
    </row>
    <row r="115" spans="1:35" ht="15" customHeight="1">
      <c r="C115" s="67"/>
      <c r="D115" s="67"/>
      <c r="E115" s="67"/>
      <c r="F115" s="67"/>
      <c r="G115" s="67"/>
      <c r="H115" s="67"/>
      <c r="I115" s="67"/>
      <c r="J115" s="67"/>
      <c r="K115" s="16"/>
      <c r="L115" s="169"/>
    </row>
    <row r="116" spans="1:35" ht="15" customHeight="1" thickBot="1">
      <c r="A116" t="s">
        <v>561</v>
      </c>
      <c r="C116" s="91">
        <f t="shared" ref="C116:J116" si="9">+C39+C86+C113</f>
        <v>4698776.4800000004</v>
      </c>
      <c r="D116" s="91">
        <f t="shared" si="9"/>
        <v>108507.06000000001</v>
      </c>
      <c r="E116" s="91">
        <f t="shared" si="9"/>
        <v>-12680.279999999999</v>
      </c>
      <c r="F116" s="91">
        <f t="shared" si="9"/>
        <v>919731</v>
      </c>
      <c r="G116" s="91">
        <f t="shared" si="9"/>
        <v>-4.9400000000000004</v>
      </c>
      <c r="H116" s="91">
        <f t="shared" si="9"/>
        <v>5987.95</v>
      </c>
      <c r="I116" s="91">
        <f t="shared" si="9"/>
        <v>0</v>
      </c>
      <c r="J116" s="91">
        <f t="shared" si="9"/>
        <v>5720317.2699999996</v>
      </c>
      <c r="K116" s="16"/>
      <c r="AF116" s="8"/>
      <c r="AG116" s="8"/>
      <c r="AH116" s="8"/>
      <c r="AI116" s="8"/>
    </row>
    <row r="117" spans="1:35" ht="15" customHeight="1" thickTop="1">
      <c r="C117" s="16"/>
      <c r="D117" s="16"/>
      <c r="E117" s="16"/>
      <c r="F117" s="16"/>
      <c r="G117" s="16"/>
      <c r="H117" s="16"/>
      <c r="I117" s="16"/>
      <c r="J117" s="16">
        <f>SUM(C116:I116)</f>
        <v>5720317.2699999996</v>
      </c>
      <c r="K117" s="16"/>
    </row>
    <row r="118" spans="1:35" ht="15" customHeight="1">
      <c r="C118" s="16"/>
      <c r="D118" s="16"/>
      <c r="E118" s="16"/>
      <c r="F118" s="16"/>
      <c r="G118" s="16"/>
      <c r="H118" s="16"/>
      <c r="I118" s="16"/>
      <c r="J118" s="16"/>
      <c r="K118" s="16"/>
    </row>
  </sheetData>
  <mergeCells count="1">
    <mergeCell ref="A43:J43"/>
  </mergeCells>
  <phoneticPr fontId="0" type="noConversion"/>
  <pageMargins left="0.21" right="0.21" top="1" bottom="1" header="0.5" footer="0.5"/>
  <pageSetup scale="54" fitToHeight="2" orientation="landscape" r:id="rId1"/>
  <headerFooter alignWithMargins="0"/>
  <rowBreaks count="2" manualBreakCount="2">
    <brk id="42" max="9" man="1"/>
    <brk id="89" max="9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35">
    <tabColor rgb="FFFFFF00"/>
  </sheetPr>
  <dimension ref="A1:AE85"/>
  <sheetViews>
    <sheetView zoomScaleNormal="100" workbookViewId="0">
      <pane xSplit="1" topLeftCell="B1" activePane="topRight" state="frozen"/>
      <selection activeCell="A22" sqref="A22"/>
      <selection pane="topRight" activeCell="H8" sqref="H8"/>
    </sheetView>
  </sheetViews>
  <sheetFormatPr defaultColWidth="9" defaultRowHeight="15" customHeight="1"/>
  <cols>
    <col min="1" max="1" width="36.33203125" style="8" customWidth="1"/>
    <col min="2" max="2" width="14.44140625" style="123" customWidth="1"/>
    <col min="3" max="7" width="15.77734375" style="10" customWidth="1"/>
    <col min="8" max="8" width="16.109375" style="10" customWidth="1"/>
    <col min="9" max="10" width="15.77734375" style="10" customWidth="1"/>
    <col min="11" max="11" width="12.33203125" style="10" bestFit="1" customWidth="1"/>
    <col min="12" max="12" width="11.44140625" style="10" customWidth="1"/>
    <col min="13" max="31" width="9" style="10" customWidth="1"/>
    <col min="32" max="16384" width="9" style="8"/>
  </cols>
  <sheetData>
    <row r="1" spans="1:31" s="34" customFormat="1" ht="24.95" customHeight="1">
      <c r="A1" s="262" t="s">
        <v>703</v>
      </c>
      <c r="B1" s="259"/>
      <c r="C1" s="259"/>
      <c r="D1" s="259"/>
      <c r="E1" s="259"/>
      <c r="F1" s="259"/>
      <c r="G1" s="259"/>
      <c r="H1" s="259"/>
      <c r="I1" s="259"/>
      <c r="J1" s="259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</row>
    <row r="2" spans="1:31" s="34" customFormat="1" ht="15" customHeight="1">
      <c r="A2" s="35"/>
      <c r="B2" s="118"/>
      <c r="C2" s="36" t="s">
        <v>133</v>
      </c>
      <c r="D2" s="37" t="s">
        <v>133</v>
      </c>
      <c r="E2" s="37" t="s">
        <v>133</v>
      </c>
      <c r="F2" s="37"/>
      <c r="G2" s="37" t="s">
        <v>133</v>
      </c>
      <c r="H2" s="37" t="s">
        <v>133</v>
      </c>
      <c r="I2" s="37" t="s">
        <v>133</v>
      </c>
      <c r="J2" s="36" t="s">
        <v>133</v>
      </c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3"/>
      <c r="AB2" s="33"/>
      <c r="AC2" s="33"/>
      <c r="AD2" s="33"/>
      <c r="AE2" s="33"/>
    </row>
    <row r="3" spans="1:31" s="34" customFormat="1" ht="15" customHeight="1">
      <c r="A3" s="35"/>
      <c r="B3" s="190" t="s">
        <v>412</v>
      </c>
      <c r="C3" s="38" t="s">
        <v>287</v>
      </c>
      <c r="D3" s="37" t="s">
        <v>286</v>
      </c>
      <c r="E3" s="37" t="s">
        <v>290</v>
      </c>
      <c r="F3" s="37" t="s">
        <v>76</v>
      </c>
      <c r="G3" s="37" t="s">
        <v>77</v>
      </c>
      <c r="H3" s="37" t="s">
        <v>8</v>
      </c>
      <c r="I3" s="60" t="s">
        <v>342</v>
      </c>
      <c r="J3" s="38" t="s">
        <v>289</v>
      </c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3"/>
      <c r="AB3" s="33"/>
      <c r="AC3" s="33"/>
      <c r="AD3" s="33"/>
      <c r="AE3" s="33"/>
    </row>
    <row r="4" spans="1:31" s="34" customFormat="1" ht="15" customHeight="1">
      <c r="A4" s="35"/>
      <c r="B4" s="118"/>
      <c r="C4" s="36">
        <v>43647</v>
      </c>
      <c r="D4" s="38" t="s">
        <v>133</v>
      </c>
      <c r="E4" s="38" t="s">
        <v>133</v>
      </c>
      <c r="F4" s="38" t="s">
        <v>133</v>
      </c>
      <c r="G4" s="38" t="s">
        <v>133</v>
      </c>
      <c r="H4" s="38" t="s">
        <v>7</v>
      </c>
      <c r="I4" s="75" t="s">
        <v>288</v>
      </c>
      <c r="J4" s="36">
        <v>44012</v>
      </c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3"/>
      <c r="AB4" s="33"/>
      <c r="AC4" s="33"/>
      <c r="AD4" s="33"/>
      <c r="AE4" s="33"/>
    </row>
    <row r="5" spans="1:31" s="34" customFormat="1" ht="15" customHeight="1">
      <c r="A5" s="35"/>
      <c r="B5" s="118"/>
      <c r="C5" s="36"/>
      <c r="D5" s="38"/>
      <c r="E5" s="38"/>
      <c r="F5" s="38"/>
      <c r="G5" s="38"/>
      <c r="H5" s="38"/>
      <c r="I5" s="36"/>
      <c r="J5" s="36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3"/>
      <c r="AB5" s="33"/>
      <c r="AC5" s="33"/>
      <c r="AD5" s="33"/>
      <c r="AE5" s="33"/>
    </row>
    <row r="6" spans="1:31" s="55" customFormat="1" ht="15" customHeight="1">
      <c r="A6" s="39" t="s">
        <v>320</v>
      </c>
      <c r="B6" s="121"/>
      <c r="C6" s="63"/>
      <c r="D6" s="64"/>
      <c r="E6" s="64"/>
      <c r="F6" s="64"/>
      <c r="G6" s="64"/>
      <c r="H6" s="64"/>
      <c r="I6" s="63"/>
      <c r="J6" s="63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54"/>
      <c r="AB6" s="54"/>
      <c r="AC6" s="54"/>
      <c r="AD6" s="54"/>
      <c r="AE6" s="54"/>
    </row>
    <row r="7" spans="1:31" s="55" customFormat="1" ht="15" customHeight="1">
      <c r="A7" s="65" t="s">
        <v>223</v>
      </c>
      <c r="B7" s="121"/>
      <c r="C7" s="164">
        <v>19647.480000000054</v>
      </c>
      <c r="D7" s="165">
        <v>634952.5</v>
      </c>
      <c r="E7" s="165">
        <v>-565363.42000000004</v>
      </c>
      <c r="F7" s="165"/>
      <c r="G7" s="165">
        <v>-23213.08</v>
      </c>
      <c r="H7" s="165">
        <v>-21607</v>
      </c>
      <c r="I7" s="165"/>
      <c r="J7" s="164">
        <f>SUM(C7:I7)</f>
        <v>44416.480000000054</v>
      </c>
      <c r="K7" s="142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54"/>
      <c r="AB7" s="54"/>
      <c r="AC7" s="54"/>
      <c r="AD7" s="54"/>
      <c r="AE7" s="54"/>
    </row>
    <row r="8" spans="1:31" s="55" customFormat="1" ht="15" customHeight="1">
      <c r="A8" s="167" t="s">
        <v>356</v>
      </c>
      <c r="B8" s="121"/>
      <c r="C8" s="164">
        <v>57643.75</v>
      </c>
      <c r="D8" s="165"/>
      <c r="E8" s="165"/>
      <c r="F8" s="165"/>
      <c r="G8" s="165"/>
      <c r="H8" s="165">
        <v>-26729.37</v>
      </c>
      <c r="I8" s="165"/>
      <c r="J8" s="164">
        <f t="shared" ref="J8:J9" si="0">SUM(C8:I8)</f>
        <v>30914.38</v>
      </c>
      <c r="K8" s="66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54"/>
      <c r="AB8" s="54"/>
      <c r="AC8" s="54"/>
      <c r="AD8" s="54"/>
      <c r="AE8" s="54"/>
    </row>
    <row r="9" spans="1:31" s="55" customFormat="1" ht="15" customHeight="1">
      <c r="A9" s="167" t="s">
        <v>357</v>
      </c>
      <c r="B9" s="121"/>
      <c r="C9" s="164">
        <v>2902.3600000000006</v>
      </c>
      <c r="D9" s="165"/>
      <c r="E9" s="165"/>
      <c r="F9" s="165"/>
      <c r="G9" s="165"/>
      <c r="H9" s="165">
        <v>-2245.1799999999998</v>
      </c>
      <c r="I9" s="165"/>
      <c r="J9" s="164">
        <f t="shared" si="0"/>
        <v>657.18000000000075</v>
      </c>
      <c r="K9" s="66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54"/>
      <c r="AB9" s="54"/>
      <c r="AC9" s="54"/>
      <c r="AD9" s="54"/>
      <c r="AE9" s="54"/>
    </row>
    <row r="10" spans="1:31" s="55" customFormat="1" ht="15" customHeight="1" thickBot="1">
      <c r="A10" s="65" t="s">
        <v>321</v>
      </c>
      <c r="B10" s="121"/>
      <c r="C10" s="166">
        <v>80193.590000000055</v>
      </c>
      <c r="D10" s="166">
        <f t="shared" ref="D10:J10" si="1">SUM(D7:D9)</f>
        <v>634952.5</v>
      </c>
      <c r="E10" s="166">
        <f t="shared" si="1"/>
        <v>-565363.42000000004</v>
      </c>
      <c r="F10" s="166">
        <f t="shared" si="1"/>
        <v>0</v>
      </c>
      <c r="G10" s="166">
        <f t="shared" si="1"/>
        <v>-23213.08</v>
      </c>
      <c r="H10" s="166">
        <f t="shared" si="1"/>
        <v>-50581.549999999996</v>
      </c>
      <c r="I10" s="166">
        <f t="shared" si="1"/>
        <v>0</v>
      </c>
      <c r="J10" s="166">
        <f t="shared" si="1"/>
        <v>75988.040000000066</v>
      </c>
      <c r="K10" s="66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54"/>
      <c r="AB10" s="54"/>
      <c r="AC10" s="54"/>
      <c r="AD10" s="54"/>
      <c r="AE10" s="54"/>
    </row>
    <row r="11" spans="1:31" s="55" customFormat="1" ht="15" customHeight="1" thickTop="1">
      <c r="A11" s="65"/>
      <c r="B11" s="121"/>
      <c r="C11" s="66"/>
      <c r="D11" s="66"/>
      <c r="E11" s="66"/>
      <c r="F11" s="66"/>
      <c r="G11" s="66"/>
      <c r="H11" s="66"/>
      <c r="I11" s="66"/>
      <c r="J11" s="66"/>
      <c r="K11" s="66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54"/>
      <c r="AB11" s="54"/>
      <c r="AC11" s="54"/>
      <c r="AD11" s="54"/>
      <c r="AE11" s="54"/>
    </row>
    <row r="12" spans="1:31" s="55" customFormat="1" ht="15" customHeight="1">
      <c r="B12" s="121"/>
      <c r="C12" s="53"/>
      <c r="D12" s="53"/>
      <c r="E12" s="53"/>
      <c r="F12" s="53"/>
      <c r="G12" s="53"/>
      <c r="H12" s="53"/>
      <c r="I12" s="53"/>
      <c r="J12" s="53"/>
      <c r="K12" s="53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</row>
    <row r="13" spans="1:31" ht="15" customHeight="1">
      <c r="A13" s="7" t="s">
        <v>319</v>
      </c>
      <c r="B13" s="119"/>
      <c r="C13" s="16"/>
      <c r="D13" s="16"/>
      <c r="E13" s="16"/>
      <c r="F13" s="16"/>
      <c r="G13" s="16"/>
      <c r="H13" s="16"/>
      <c r="I13" s="16"/>
      <c r="J13" s="16"/>
      <c r="K13" s="16"/>
    </row>
    <row r="14" spans="1:31" ht="15" customHeight="1">
      <c r="A14" s="8" t="s">
        <v>224</v>
      </c>
      <c r="C14" s="85">
        <v>30075</v>
      </c>
      <c r="D14" s="85"/>
      <c r="E14" s="85"/>
      <c r="F14" s="85"/>
      <c r="G14" s="85"/>
      <c r="H14" s="151">
        <v>-21607</v>
      </c>
      <c r="I14" s="85"/>
      <c r="J14" s="179">
        <f>SUM(C14:I14)</f>
        <v>8468</v>
      </c>
      <c r="K14" s="14"/>
    </row>
    <row r="15" spans="1:31" ht="15" customHeight="1">
      <c r="A15" s="8" t="s">
        <v>307</v>
      </c>
      <c r="C15" s="178">
        <v>0</v>
      </c>
      <c r="D15" s="178"/>
      <c r="E15" s="178"/>
      <c r="F15" s="178"/>
      <c r="G15" s="178"/>
      <c r="H15" s="178"/>
      <c r="I15" s="178"/>
      <c r="J15" s="178">
        <f>SUM(C15:I15)</f>
        <v>0</v>
      </c>
      <c r="K15" s="16"/>
    </row>
    <row r="16" spans="1:31" ht="15" customHeight="1">
      <c r="A16" s="8" t="s">
        <v>308</v>
      </c>
      <c r="C16" s="85">
        <v>30075</v>
      </c>
      <c r="D16" s="85">
        <f t="shared" ref="D16:I16" si="2">SUM(D14:D15)</f>
        <v>0</v>
      </c>
      <c r="E16" s="85">
        <f t="shared" si="2"/>
        <v>0</v>
      </c>
      <c r="F16" s="85">
        <f t="shared" si="2"/>
        <v>0</v>
      </c>
      <c r="G16" s="85">
        <f t="shared" si="2"/>
        <v>0</v>
      </c>
      <c r="H16" s="85">
        <f t="shared" si="2"/>
        <v>-21607</v>
      </c>
      <c r="I16" s="85">
        <f t="shared" si="2"/>
        <v>0</v>
      </c>
      <c r="J16" s="85">
        <f>SUM(J14:J15)</f>
        <v>8468</v>
      </c>
      <c r="K16" s="16"/>
    </row>
    <row r="17" spans="1:31" ht="15" customHeight="1">
      <c r="A17" s="7"/>
      <c r="B17" s="119"/>
      <c r="C17" s="85"/>
      <c r="D17" s="85"/>
      <c r="E17" s="85"/>
      <c r="F17" s="85"/>
      <c r="G17" s="85"/>
      <c r="H17" s="85"/>
      <c r="I17" s="85"/>
      <c r="J17" s="85"/>
      <c r="K17" s="16"/>
    </row>
    <row r="18" spans="1:31" s="55" customFormat="1" ht="15" customHeight="1">
      <c r="A18" s="52" t="s">
        <v>242</v>
      </c>
      <c r="B18" s="120"/>
      <c r="C18" s="53"/>
      <c r="D18" s="53"/>
      <c r="E18" s="53"/>
      <c r="F18" s="53"/>
      <c r="G18" s="53"/>
      <c r="H18" s="53"/>
      <c r="I18" s="53"/>
      <c r="J18" s="53"/>
      <c r="K18" s="53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</row>
    <row r="19" spans="1:31" ht="15" customHeight="1">
      <c r="A19" s="87" t="s">
        <v>728</v>
      </c>
      <c r="B19" s="140" t="s">
        <v>552</v>
      </c>
      <c r="C19" s="16">
        <v>74.989999999999782</v>
      </c>
      <c r="D19" s="16">
        <v>1613.56</v>
      </c>
      <c r="E19" s="16">
        <v>-1508.5</v>
      </c>
      <c r="F19" s="16"/>
      <c r="G19" s="16"/>
      <c r="H19" s="16"/>
      <c r="I19" s="16"/>
      <c r="J19" s="16">
        <f>SUM(C19:I19)</f>
        <v>180.04999999999973</v>
      </c>
      <c r="K19" s="16"/>
    </row>
    <row r="20" spans="1:31" ht="15" customHeight="1">
      <c r="A20" s="55" t="s">
        <v>44</v>
      </c>
      <c r="B20" s="140" t="s">
        <v>553</v>
      </c>
      <c r="C20" s="16">
        <v>0</v>
      </c>
      <c r="D20" s="16">
        <v>8000</v>
      </c>
      <c r="E20" s="16">
        <v>-8000</v>
      </c>
      <c r="F20" s="16"/>
      <c r="G20" s="16"/>
      <c r="H20" s="16"/>
      <c r="I20" s="16"/>
      <c r="J20" s="16">
        <f>SUM(C20:I20)</f>
        <v>0</v>
      </c>
      <c r="K20" s="16"/>
    </row>
    <row r="21" spans="1:31" ht="15" customHeight="1">
      <c r="A21" s="8" t="s">
        <v>127</v>
      </c>
      <c r="B21" s="140" t="s">
        <v>554</v>
      </c>
      <c r="C21" s="30">
        <v>5072.5</v>
      </c>
      <c r="D21" s="30">
        <v>14437.5</v>
      </c>
      <c r="E21" s="30">
        <v>-18137.5</v>
      </c>
      <c r="F21" s="30"/>
      <c r="G21" s="30"/>
      <c r="H21" s="30" t="s">
        <v>133</v>
      </c>
      <c r="I21" s="30" t="s">
        <v>133</v>
      </c>
      <c r="J21" s="30">
        <f>SUM(C21:I21)</f>
        <v>1372.5</v>
      </c>
      <c r="K21" s="16"/>
    </row>
    <row r="22" spans="1:31" ht="15" customHeight="1">
      <c r="A22" s="8" t="s">
        <v>301</v>
      </c>
      <c r="C22" s="16">
        <v>5147.49</v>
      </c>
      <c r="D22" s="16">
        <f t="shared" ref="D22:J22" si="3">SUM(D19:D21)</f>
        <v>24051.059999999998</v>
      </c>
      <c r="E22" s="16">
        <f t="shared" si="3"/>
        <v>-27646</v>
      </c>
      <c r="F22" s="16">
        <f t="shared" si="3"/>
        <v>0</v>
      </c>
      <c r="G22" s="16">
        <f t="shared" si="3"/>
        <v>0</v>
      </c>
      <c r="H22" s="16">
        <f t="shared" si="3"/>
        <v>0</v>
      </c>
      <c r="I22" s="16">
        <f t="shared" si="3"/>
        <v>0</v>
      </c>
      <c r="J22" s="16">
        <f t="shared" si="3"/>
        <v>1552.5499999999997</v>
      </c>
      <c r="K22" s="16"/>
    </row>
    <row r="23" spans="1:31" ht="15" customHeight="1">
      <c r="C23" s="16"/>
      <c r="D23" s="16"/>
      <c r="E23" s="16"/>
      <c r="F23" s="16"/>
      <c r="G23" s="16"/>
      <c r="H23" s="16"/>
      <c r="I23" s="16"/>
      <c r="J23" s="16"/>
      <c r="K23" s="16"/>
    </row>
    <row r="24" spans="1:31" s="55" customFormat="1" ht="15" customHeight="1">
      <c r="A24" s="52" t="s">
        <v>243</v>
      </c>
      <c r="B24" s="120"/>
      <c r="C24" s="53"/>
      <c r="D24" s="53"/>
      <c r="E24" s="53"/>
      <c r="F24" s="53"/>
      <c r="G24" s="53"/>
      <c r="H24" s="53"/>
      <c r="I24" s="53"/>
      <c r="J24" s="53"/>
      <c r="K24" s="53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</row>
    <row r="25" spans="1:31" ht="15" customHeight="1">
      <c r="A25" s="8" t="s">
        <v>128</v>
      </c>
      <c r="B25" s="200" t="s">
        <v>558</v>
      </c>
      <c r="C25" s="16">
        <v>-58157.75</v>
      </c>
      <c r="D25" s="16">
        <v>545215.31999999995</v>
      </c>
      <c r="E25" s="16">
        <v>-508932.95</v>
      </c>
      <c r="F25" s="16"/>
      <c r="G25" s="16"/>
      <c r="H25" s="70"/>
      <c r="I25" s="16"/>
      <c r="J25" s="16">
        <f>SUM(C25:I25)</f>
        <v>-21875.380000000063</v>
      </c>
      <c r="K25" s="206"/>
    </row>
    <row r="26" spans="1:31" ht="15" customHeight="1">
      <c r="A26" s="8" t="s">
        <v>129</v>
      </c>
      <c r="B26" s="200" t="s">
        <v>557</v>
      </c>
      <c r="C26" s="67">
        <v>-2948.08</v>
      </c>
      <c r="D26" s="67">
        <v>13341.82</v>
      </c>
      <c r="E26" s="67">
        <v>-10096.64</v>
      </c>
      <c r="F26" s="67"/>
      <c r="G26" s="67"/>
      <c r="H26" s="107"/>
      <c r="I26" s="107"/>
      <c r="J26" s="67">
        <f>SUM(C26:I26)</f>
        <v>297.10000000000036</v>
      </c>
      <c r="K26" s="206"/>
    </row>
    <row r="27" spans="1:31" ht="15" customHeight="1">
      <c r="A27" t="s">
        <v>559</v>
      </c>
      <c r="B27" s="200"/>
      <c r="C27" s="67">
        <v>60546.110000000015</v>
      </c>
      <c r="D27" s="67"/>
      <c r="E27" s="67"/>
      <c r="F27" s="67"/>
      <c r="G27" s="67"/>
      <c r="H27" s="107">
        <v>-28974.55</v>
      </c>
      <c r="I27" s="107"/>
      <c r="J27" s="67">
        <f>SUM(C27:I27)</f>
        <v>31571.560000000016</v>
      </c>
      <c r="K27" s="206"/>
    </row>
    <row r="28" spans="1:31" ht="15" customHeight="1">
      <c r="A28" s="8" t="s">
        <v>302</v>
      </c>
      <c r="C28" s="51">
        <v>-559.71999999998661</v>
      </c>
      <c r="D28" s="51">
        <f t="shared" ref="D28:J28" si="4">SUM(D25:D27)</f>
        <v>558557.1399999999</v>
      </c>
      <c r="E28" s="51">
        <f t="shared" si="4"/>
        <v>-519029.59</v>
      </c>
      <c r="F28" s="51">
        <f t="shared" si="4"/>
        <v>0</v>
      </c>
      <c r="G28" s="51">
        <f t="shared" si="4"/>
        <v>0</v>
      </c>
      <c r="H28" s="51">
        <f t="shared" si="4"/>
        <v>-28974.55</v>
      </c>
      <c r="I28" s="51">
        <f t="shared" si="4"/>
        <v>0</v>
      </c>
      <c r="J28" s="51">
        <f t="shared" si="4"/>
        <v>9993.2799999999515</v>
      </c>
      <c r="K28" s="16"/>
    </row>
    <row r="29" spans="1:31" ht="15" customHeight="1">
      <c r="C29" s="16"/>
      <c r="D29" s="16"/>
      <c r="E29" s="16"/>
      <c r="F29" s="16"/>
      <c r="G29" s="16"/>
      <c r="H29" s="16"/>
      <c r="I29" s="16"/>
      <c r="J29" s="16"/>
      <c r="K29" s="16"/>
    </row>
    <row r="30" spans="1:31" s="55" customFormat="1" ht="15" customHeight="1">
      <c r="A30" s="52" t="s">
        <v>244</v>
      </c>
      <c r="B30" s="120"/>
      <c r="C30" s="53"/>
      <c r="D30" s="53"/>
      <c r="E30" s="53"/>
      <c r="F30" s="53"/>
      <c r="G30" s="53"/>
      <c r="H30" s="53"/>
      <c r="I30" s="53"/>
      <c r="J30" s="53"/>
      <c r="K30" s="53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</row>
    <row r="31" spans="1:31" s="55" customFormat="1" ht="15" customHeight="1">
      <c r="A31" s="55" t="s">
        <v>130</v>
      </c>
      <c r="B31" s="191" t="s">
        <v>555</v>
      </c>
      <c r="C31" s="56">
        <v>23213.079999999998</v>
      </c>
      <c r="D31" s="56">
        <v>2252.8200000000002</v>
      </c>
      <c r="E31" s="247">
        <v>-1434.7</v>
      </c>
      <c r="F31" s="56"/>
      <c r="G31" s="56">
        <v>-23213.08</v>
      </c>
      <c r="H31" s="56"/>
      <c r="I31" s="56"/>
      <c r="J31" s="56">
        <f>SUM(C31:I31)</f>
        <v>818.11999999999534</v>
      </c>
      <c r="K31" s="53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</row>
    <row r="32" spans="1:31" s="55" customFormat="1" ht="15" customHeight="1">
      <c r="A32" s="55" t="s">
        <v>303</v>
      </c>
      <c r="B32" s="121"/>
      <c r="C32" s="53">
        <v>23213.079999999998</v>
      </c>
      <c r="D32" s="53">
        <f t="shared" ref="D32:J32" si="5">SUM(D31:D31)</f>
        <v>2252.8200000000002</v>
      </c>
      <c r="E32" s="53">
        <f t="shared" si="5"/>
        <v>-1434.7</v>
      </c>
      <c r="F32" s="53">
        <f t="shared" si="5"/>
        <v>0</v>
      </c>
      <c r="G32" s="53">
        <f t="shared" si="5"/>
        <v>-23213.08</v>
      </c>
      <c r="H32" s="53">
        <f>SUM(H31:H31)</f>
        <v>0</v>
      </c>
      <c r="I32" s="53">
        <f>SUM(I31:I31)</f>
        <v>0</v>
      </c>
      <c r="J32" s="53">
        <f t="shared" si="5"/>
        <v>818.11999999999534</v>
      </c>
      <c r="K32" s="53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</row>
    <row r="33" spans="1:31" s="55" customFormat="1" ht="15" customHeight="1">
      <c r="B33" s="121"/>
      <c r="C33" s="53"/>
      <c r="D33" s="53"/>
      <c r="E33" s="53"/>
      <c r="F33" s="53"/>
      <c r="G33" s="53"/>
      <c r="H33" s="53"/>
      <c r="I33" s="53"/>
      <c r="J33" s="53"/>
      <c r="K33" s="53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</row>
    <row r="34" spans="1:31" s="55" customFormat="1" ht="15" customHeight="1">
      <c r="A34" s="52" t="s">
        <v>729</v>
      </c>
      <c r="B34" s="120"/>
      <c r="C34" s="53"/>
      <c r="D34" s="53"/>
      <c r="E34" s="53"/>
      <c r="F34" s="53"/>
      <c r="G34" s="53"/>
      <c r="H34" s="53"/>
      <c r="I34" s="53"/>
      <c r="J34" s="53"/>
      <c r="K34" s="53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</row>
    <row r="35" spans="1:31" s="55" customFormat="1" ht="15" customHeight="1">
      <c r="A35" t="s">
        <v>162</v>
      </c>
      <c r="B35" s="191" t="s">
        <v>556</v>
      </c>
      <c r="C35" s="53">
        <v>22317.739999999998</v>
      </c>
      <c r="D35" s="53">
        <v>88.61</v>
      </c>
      <c r="E35" s="53">
        <v>-17253.13</v>
      </c>
      <c r="F35" s="53"/>
      <c r="G35" s="53"/>
      <c r="H35" s="53"/>
      <c r="I35" s="71"/>
      <c r="J35" s="53">
        <f>SUM(C35:I35)</f>
        <v>5153.2199999999975</v>
      </c>
      <c r="K35" s="53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</row>
    <row r="36" spans="1:31" s="55" customFormat="1" ht="15" customHeight="1">
      <c r="A36" t="s">
        <v>886</v>
      </c>
      <c r="B36" s="254" t="s">
        <v>887</v>
      </c>
      <c r="C36" s="53">
        <v>0</v>
      </c>
      <c r="D36" s="53">
        <f>50000+2.87</f>
        <v>50002.87</v>
      </c>
      <c r="E36" s="53"/>
      <c r="F36" s="53"/>
      <c r="G36" s="53"/>
      <c r="H36" s="53"/>
      <c r="I36" s="53"/>
      <c r="J36" s="53">
        <f>SUM(C36:I36)</f>
        <v>50002.87</v>
      </c>
      <c r="K36" s="53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</row>
    <row r="37" spans="1:31" ht="15" customHeight="1">
      <c r="A37" s="8" t="s">
        <v>235</v>
      </c>
      <c r="C37" s="51">
        <v>22317.739999999998</v>
      </c>
      <c r="D37" s="51">
        <f t="shared" ref="D37:J37" si="6">SUM(D35:D36)</f>
        <v>50091.48</v>
      </c>
      <c r="E37" s="51">
        <f t="shared" si="6"/>
        <v>-17253.13</v>
      </c>
      <c r="F37" s="51">
        <f t="shared" si="6"/>
        <v>0</v>
      </c>
      <c r="G37" s="51">
        <f t="shared" si="6"/>
        <v>0</v>
      </c>
      <c r="H37" s="51">
        <f t="shared" si="6"/>
        <v>0</v>
      </c>
      <c r="I37" s="51">
        <f t="shared" si="6"/>
        <v>0</v>
      </c>
      <c r="J37" s="51">
        <f t="shared" si="6"/>
        <v>55156.09</v>
      </c>
      <c r="K37" s="16" t="s">
        <v>133</v>
      </c>
    </row>
    <row r="38" spans="1:31" ht="15" customHeight="1">
      <c r="C38" s="67"/>
      <c r="D38" s="67"/>
      <c r="E38" s="67"/>
      <c r="F38" s="67"/>
      <c r="G38" s="67"/>
      <c r="H38" s="67"/>
      <c r="I38" s="67"/>
      <c r="J38" s="67"/>
      <c r="K38" s="16"/>
    </row>
    <row r="39" spans="1:31" ht="15" customHeight="1">
      <c r="C39" s="16"/>
      <c r="D39" s="16"/>
      <c r="E39" s="16"/>
      <c r="F39" s="16"/>
      <c r="G39" s="16"/>
      <c r="H39" s="16"/>
      <c r="I39" s="16"/>
      <c r="J39" s="16"/>
      <c r="K39" s="16"/>
    </row>
    <row r="40" spans="1:31" ht="15" customHeight="1" thickBot="1">
      <c r="A40" s="8" t="s">
        <v>306</v>
      </c>
      <c r="C40" s="91">
        <v>80193.59</v>
      </c>
      <c r="D40" s="91">
        <f t="shared" ref="D40:J40" si="7">+D16+D22+D28+D32+D37</f>
        <v>634952.49999999988</v>
      </c>
      <c r="E40" s="91">
        <f t="shared" si="7"/>
        <v>-565363.42000000004</v>
      </c>
      <c r="F40" s="91">
        <f t="shared" si="7"/>
        <v>0</v>
      </c>
      <c r="G40" s="91">
        <f t="shared" si="7"/>
        <v>-23213.08</v>
      </c>
      <c r="H40" s="91">
        <f t="shared" si="7"/>
        <v>-50581.55</v>
      </c>
      <c r="I40" s="91">
        <f t="shared" si="7"/>
        <v>0</v>
      </c>
      <c r="J40" s="91">
        <f t="shared" si="7"/>
        <v>75988.03999999995</v>
      </c>
      <c r="K40" s="16"/>
    </row>
    <row r="41" spans="1:31" ht="15" customHeight="1" thickTop="1">
      <c r="C41" s="16"/>
      <c r="D41" s="16"/>
      <c r="E41" s="16"/>
      <c r="F41" s="16"/>
      <c r="G41" s="16"/>
      <c r="H41" s="16"/>
      <c r="I41" s="16"/>
      <c r="K41" s="16">
        <f>SUM(C40:I40)</f>
        <v>75988.039999999804</v>
      </c>
      <c r="L41" s="169"/>
    </row>
    <row r="42" spans="1:31" ht="15" customHeight="1">
      <c r="C42" s="16"/>
      <c r="D42" s="16"/>
      <c r="E42" s="16"/>
      <c r="F42" s="16"/>
      <c r="G42" s="16"/>
      <c r="H42" s="16"/>
      <c r="I42" s="16"/>
      <c r="J42" s="16"/>
      <c r="K42" s="16"/>
      <c r="L42" s="169"/>
    </row>
    <row r="43" spans="1:31" ht="15" customHeight="1">
      <c r="C43" s="16"/>
      <c r="D43" s="16"/>
      <c r="E43" s="16"/>
      <c r="F43" s="16"/>
      <c r="G43" s="16"/>
      <c r="H43" s="16"/>
      <c r="I43" s="16"/>
      <c r="J43" s="16"/>
      <c r="K43" s="16"/>
      <c r="L43" s="169"/>
    </row>
    <row r="44" spans="1:31" ht="24.95" customHeight="1">
      <c r="A44" s="262" t="s">
        <v>704</v>
      </c>
      <c r="B44" s="259"/>
      <c r="C44" s="259"/>
      <c r="D44" s="259"/>
      <c r="E44" s="259"/>
      <c r="F44" s="259"/>
      <c r="G44" s="259"/>
      <c r="H44" s="259"/>
      <c r="I44" s="259"/>
      <c r="J44" s="259"/>
    </row>
    <row r="46" spans="1:31" s="34" customFormat="1" ht="15" customHeight="1">
      <c r="A46" s="35"/>
      <c r="B46" s="190" t="s">
        <v>412</v>
      </c>
      <c r="C46" s="38" t="s">
        <v>287</v>
      </c>
      <c r="D46" s="37" t="s">
        <v>286</v>
      </c>
      <c r="E46" s="37" t="s">
        <v>290</v>
      </c>
      <c r="F46" s="37" t="s">
        <v>76</v>
      </c>
      <c r="G46" s="37" t="s">
        <v>77</v>
      </c>
      <c r="H46" s="37" t="s">
        <v>8</v>
      </c>
      <c r="I46" s="60" t="s">
        <v>342</v>
      </c>
      <c r="J46" s="38" t="s">
        <v>289</v>
      </c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3"/>
      <c r="AB46" s="33"/>
      <c r="AC46" s="33"/>
      <c r="AD46" s="33"/>
      <c r="AE46" s="33"/>
    </row>
    <row r="47" spans="1:31" s="34" customFormat="1" ht="15" customHeight="1">
      <c r="A47" s="35"/>
      <c r="B47" s="118"/>
      <c r="C47" s="36">
        <v>43647</v>
      </c>
      <c r="D47" s="38" t="s">
        <v>133</v>
      </c>
      <c r="E47" s="38" t="s">
        <v>133</v>
      </c>
      <c r="F47" s="38" t="s">
        <v>133</v>
      </c>
      <c r="G47" s="38" t="s">
        <v>133</v>
      </c>
      <c r="H47" s="38" t="s">
        <v>7</v>
      </c>
      <c r="I47" s="75" t="s">
        <v>288</v>
      </c>
      <c r="J47" s="36">
        <v>44012</v>
      </c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3"/>
      <c r="AB47" s="33"/>
      <c r="AC47" s="33"/>
      <c r="AD47" s="33"/>
      <c r="AE47" s="33"/>
    </row>
    <row r="49" spans="1:31" s="55" customFormat="1" ht="15" customHeight="1">
      <c r="A49" s="39" t="s">
        <v>320</v>
      </c>
      <c r="B49" s="121"/>
      <c r="C49" s="63"/>
      <c r="D49" s="64"/>
      <c r="E49" s="64"/>
      <c r="F49" s="64"/>
      <c r="G49" s="64"/>
      <c r="H49" s="64"/>
      <c r="I49" s="63"/>
      <c r="J49" s="63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54"/>
      <c r="AB49" s="54"/>
      <c r="AC49" s="54"/>
      <c r="AD49" s="54"/>
      <c r="AE49" s="54"/>
    </row>
    <row r="50" spans="1:31" s="55" customFormat="1" ht="15" customHeight="1">
      <c r="A50" s="65" t="s">
        <v>223</v>
      </c>
      <c r="B50" s="191"/>
      <c r="C50" s="164">
        <v>27596.95</v>
      </c>
      <c r="D50" s="165">
        <v>1888424.63</v>
      </c>
      <c r="E50" s="165">
        <v>-1900419.68</v>
      </c>
      <c r="F50" s="165"/>
      <c r="G50" s="165"/>
      <c r="H50" s="165"/>
      <c r="I50" s="165"/>
      <c r="J50" s="164">
        <f>SUM(C50:I50)</f>
        <v>15601.899999999907</v>
      </c>
      <c r="K50" s="168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54"/>
      <c r="AB50" s="54"/>
      <c r="AC50" s="54"/>
      <c r="AD50" s="54"/>
      <c r="AE50" s="54"/>
    </row>
    <row r="51" spans="1:31" s="55" customFormat="1" ht="15" customHeight="1">
      <c r="A51" s="224" t="s">
        <v>587</v>
      </c>
      <c r="B51" s="191"/>
      <c r="C51" s="164">
        <v>0</v>
      </c>
      <c r="D51" s="165"/>
      <c r="E51" s="165"/>
      <c r="F51" s="165"/>
      <c r="G51" s="165"/>
      <c r="H51" s="165"/>
      <c r="I51" s="165"/>
      <c r="J51" s="164">
        <f>SUM(C51:I51)</f>
        <v>0</v>
      </c>
      <c r="K51" s="168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54"/>
      <c r="AB51" s="54"/>
      <c r="AC51" s="54"/>
      <c r="AD51" s="54"/>
      <c r="AE51" s="54"/>
    </row>
    <row r="52" spans="1:31" s="55" customFormat="1" ht="15" customHeight="1" thickBot="1">
      <c r="A52" s="65" t="s">
        <v>321</v>
      </c>
      <c r="B52" s="121"/>
      <c r="C52" s="166">
        <f>SUM(C50:C51)</f>
        <v>27596.95</v>
      </c>
      <c r="D52" s="166">
        <f t="shared" ref="D52:J52" si="8">SUM(D50:D51)</f>
        <v>1888424.63</v>
      </c>
      <c r="E52" s="166">
        <f t="shared" si="8"/>
        <v>-1900419.68</v>
      </c>
      <c r="F52" s="166">
        <f t="shared" si="8"/>
        <v>0</v>
      </c>
      <c r="G52" s="166">
        <f t="shared" si="8"/>
        <v>0</v>
      </c>
      <c r="H52" s="166">
        <f t="shared" si="8"/>
        <v>0</v>
      </c>
      <c r="I52" s="166">
        <f t="shared" si="8"/>
        <v>0</v>
      </c>
      <c r="J52" s="166">
        <f t="shared" si="8"/>
        <v>15601.899999999907</v>
      </c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54"/>
      <c r="AB52" s="54"/>
      <c r="AC52" s="54"/>
      <c r="AD52" s="54"/>
      <c r="AE52" s="54"/>
    </row>
    <row r="53" spans="1:31" s="55" customFormat="1" ht="15" customHeight="1" thickTop="1">
      <c r="A53" s="65"/>
      <c r="B53" s="121"/>
      <c r="C53" s="201"/>
      <c r="D53" s="201"/>
      <c r="E53" s="201"/>
      <c r="F53" s="201"/>
      <c r="G53" s="201"/>
      <c r="H53" s="201"/>
      <c r="I53" s="201"/>
      <c r="J53" s="201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54"/>
      <c r="AB53" s="54"/>
      <c r="AC53" s="54"/>
      <c r="AD53" s="54"/>
      <c r="AE53" s="54"/>
    </row>
    <row r="54" spans="1:31" s="55" customFormat="1" ht="15" customHeight="1">
      <c r="A54" s="65"/>
      <c r="B54" s="121"/>
      <c r="C54" s="201"/>
      <c r="D54" s="201"/>
      <c r="E54" s="201"/>
      <c r="F54" s="201"/>
      <c r="G54" s="201"/>
      <c r="H54" s="201"/>
      <c r="I54" s="201"/>
      <c r="J54" s="201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54"/>
      <c r="AB54" s="54"/>
      <c r="AC54" s="54"/>
      <c r="AD54" s="54"/>
      <c r="AE54" s="54"/>
    </row>
    <row r="55" spans="1:31" ht="15" customHeight="1">
      <c r="A55" s="7" t="s">
        <v>319</v>
      </c>
      <c r="B55" s="119"/>
      <c r="C55" s="16"/>
      <c r="D55" s="16"/>
      <c r="E55" s="16"/>
      <c r="F55" s="16"/>
      <c r="G55" s="16"/>
      <c r="H55" s="16"/>
      <c r="I55" s="16"/>
      <c r="J55" s="16"/>
    </row>
    <row r="56" spans="1:31" ht="15" customHeight="1">
      <c r="A56" s="8" t="s">
        <v>224</v>
      </c>
      <c r="C56" s="85">
        <v>0</v>
      </c>
      <c r="D56" s="85"/>
      <c r="E56" s="85"/>
      <c r="F56" s="85"/>
      <c r="G56" s="85"/>
      <c r="H56" s="151"/>
      <c r="I56" s="85"/>
      <c r="J56" s="179">
        <f>SUM(C56:I56)</f>
        <v>0</v>
      </c>
      <c r="K56" s="169"/>
    </row>
    <row r="57" spans="1:31" ht="15" customHeight="1">
      <c r="C57" s="85"/>
      <c r="D57" s="85"/>
      <c r="E57" s="85"/>
      <c r="F57" s="85"/>
      <c r="G57" s="85"/>
      <c r="H57" s="85"/>
      <c r="I57" s="85"/>
      <c r="J57" s="85"/>
    </row>
    <row r="58" spans="1:31" s="55" customFormat="1" ht="15" customHeight="1">
      <c r="A58" s="52" t="s">
        <v>241</v>
      </c>
      <c r="B58" s="120"/>
      <c r="C58" s="85"/>
      <c r="D58" s="85"/>
      <c r="E58" s="85"/>
      <c r="F58" s="85"/>
      <c r="G58" s="85"/>
      <c r="H58" s="85"/>
      <c r="I58" s="85"/>
      <c r="J58" s="85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</row>
    <row r="59" spans="1:31" customFormat="1" ht="15" customHeight="1">
      <c r="A59" s="1" t="s">
        <v>360</v>
      </c>
      <c r="B59" s="140" t="s">
        <v>526</v>
      </c>
      <c r="C59" s="213">
        <v>0</v>
      </c>
      <c r="D59" s="176">
        <v>556421.13</v>
      </c>
      <c r="E59" s="85">
        <v>-556421.13</v>
      </c>
      <c r="F59" s="85"/>
      <c r="G59" s="85"/>
      <c r="H59" s="85"/>
      <c r="I59" s="85"/>
      <c r="J59" s="85">
        <f t="shared" ref="J59" si="9">SUM(C59:I59)</f>
        <v>0</v>
      </c>
    </row>
    <row r="60" spans="1:31" customFormat="1" ht="15" customHeight="1">
      <c r="A60" s="1" t="s">
        <v>362</v>
      </c>
      <c r="B60" s="140" t="s">
        <v>527</v>
      </c>
      <c r="C60" s="213">
        <v>0</v>
      </c>
      <c r="D60" s="176">
        <v>64999.26</v>
      </c>
      <c r="E60" s="85">
        <v>-64999.26</v>
      </c>
      <c r="F60" s="85"/>
      <c r="G60" s="85"/>
      <c r="H60" s="85"/>
      <c r="I60" s="85"/>
      <c r="J60" s="85">
        <f t="shared" ref="J60:J75" si="10">SUM(C60:I60)</f>
        <v>0</v>
      </c>
    </row>
    <row r="61" spans="1:31" customFormat="1" ht="15" customHeight="1">
      <c r="A61" s="1" t="s">
        <v>363</v>
      </c>
      <c r="B61" s="140" t="s">
        <v>528</v>
      </c>
      <c r="C61" s="213">
        <v>0</v>
      </c>
      <c r="D61" s="176">
        <v>246389.79</v>
      </c>
      <c r="E61" s="85">
        <v>-246389.79</v>
      </c>
      <c r="F61" s="85"/>
      <c r="G61" s="85"/>
      <c r="H61" s="85"/>
      <c r="I61" s="85"/>
      <c r="J61" s="85">
        <f t="shared" si="10"/>
        <v>0</v>
      </c>
    </row>
    <row r="62" spans="1:31" customFormat="1" ht="15" customHeight="1">
      <c r="A62" s="1" t="s">
        <v>359</v>
      </c>
      <c r="B62" s="140" t="s">
        <v>529</v>
      </c>
      <c r="C62" s="213">
        <v>0</v>
      </c>
      <c r="D62" s="176">
        <v>405794.49</v>
      </c>
      <c r="E62" s="85">
        <v>-405794.49</v>
      </c>
      <c r="F62" s="85"/>
      <c r="G62" s="85"/>
      <c r="H62" s="85"/>
      <c r="I62" s="85"/>
      <c r="J62" s="85">
        <f t="shared" si="10"/>
        <v>0</v>
      </c>
    </row>
    <row r="63" spans="1:31" customFormat="1" ht="15" customHeight="1">
      <c r="A63" s="1" t="s">
        <v>530</v>
      </c>
      <c r="B63" s="140" t="s">
        <v>531</v>
      </c>
      <c r="C63" s="213">
        <v>1329.8600000000006</v>
      </c>
      <c r="D63" s="176">
        <v>9921.9500000000007</v>
      </c>
      <c r="E63" s="85">
        <v>-9938.76</v>
      </c>
      <c r="F63" s="85"/>
      <c r="G63" s="85"/>
      <c r="H63" s="85"/>
      <c r="I63" s="85"/>
      <c r="J63" s="85">
        <f t="shared" si="10"/>
        <v>1313.0500000000011</v>
      </c>
    </row>
    <row r="64" spans="1:31" customFormat="1" ht="15" customHeight="1">
      <c r="A64" s="1" t="s">
        <v>361</v>
      </c>
      <c r="B64" s="140" t="s">
        <v>532</v>
      </c>
      <c r="C64" s="213">
        <v>23505.950000000012</v>
      </c>
      <c r="D64" s="176">
        <v>364490.45</v>
      </c>
      <c r="E64" s="85">
        <v>-374794.78</v>
      </c>
      <c r="F64" s="85"/>
      <c r="G64" s="85"/>
      <c r="H64" s="85"/>
      <c r="I64" s="85"/>
      <c r="J64" s="85">
        <f t="shared" si="10"/>
        <v>13201.619999999995</v>
      </c>
    </row>
    <row r="65" spans="1:11" customFormat="1" ht="15" customHeight="1">
      <c r="A65" s="1" t="s">
        <v>365</v>
      </c>
      <c r="B65" s="140" t="s">
        <v>533</v>
      </c>
      <c r="C65" s="213">
        <v>0</v>
      </c>
      <c r="D65" s="176">
        <v>4729.92</v>
      </c>
      <c r="E65" s="85">
        <v>-4729.92</v>
      </c>
      <c r="F65" s="85"/>
      <c r="G65" s="85"/>
      <c r="H65" s="85"/>
      <c r="I65" s="85"/>
      <c r="J65" s="85">
        <f t="shared" si="10"/>
        <v>0</v>
      </c>
    </row>
    <row r="66" spans="1:11" customFormat="1" ht="15" customHeight="1">
      <c r="A66" s="1" t="s">
        <v>358</v>
      </c>
      <c r="B66" s="140" t="s">
        <v>534</v>
      </c>
      <c r="C66" s="213">
        <v>2761.1399999999994</v>
      </c>
      <c r="D66" s="176">
        <v>42952.59</v>
      </c>
      <c r="E66" s="85">
        <v>-44626.5</v>
      </c>
      <c r="F66" s="85"/>
      <c r="G66" s="85"/>
      <c r="H66" s="85"/>
      <c r="I66" s="85"/>
      <c r="J66" s="85">
        <f t="shared" si="10"/>
        <v>1087.2299999999959</v>
      </c>
    </row>
    <row r="67" spans="1:11" customFormat="1" ht="15" customHeight="1">
      <c r="A67" s="1" t="s">
        <v>364</v>
      </c>
      <c r="B67" s="140" t="s">
        <v>535</v>
      </c>
      <c r="C67" s="213">
        <v>0</v>
      </c>
      <c r="D67" s="176">
        <v>96</v>
      </c>
      <c r="E67" s="85">
        <v>-96</v>
      </c>
      <c r="F67" s="85"/>
      <c r="G67" s="85"/>
      <c r="H67" s="85"/>
      <c r="I67" s="85"/>
      <c r="J67" s="85">
        <f t="shared" si="10"/>
        <v>0</v>
      </c>
    </row>
    <row r="68" spans="1:11" customFormat="1" ht="15" customHeight="1">
      <c r="A68" s="1" t="s">
        <v>536</v>
      </c>
      <c r="B68" s="140" t="s">
        <v>537</v>
      </c>
      <c r="C68" s="213">
        <v>0</v>
      </c>
      <c r="D68" s="176">
        <v>7979.5</v>
      </c>
      <c r="E68" s="85">
        <v>-7979.5</v>
      </c>
      <c r="F68" s="85"/>
      <c r="G68" s="85"/>
      <c r="H68" s="85"/>
      <c r="I68" s="85"/>
      <c r="J68" s="85">
        <f t="shared" si="10"/>
        <v>0</v>
      </c>
    </row>
    <row r="69" spans="1:11" ht="15" customHeight="1">
      <c r="A69" s="1" t="s">
        <v>538</v>
      </c>
      <c r="B69" s="191" t="s">
        <v>539</v>
      </c>
      <c r="C69" s="16">
        <v>0</v>
      </c>
      <c r="D69" s="16">
        <v>35305.1</v>
      </c>
      <c r="E69" s="16">
        <v>-35305.1</v>
      </c>
      <c r="F69" s="16"/>
      <c r="G69" s="16"/>
      <c r="H69" s="16"/>
      <c r="I69" s="16"/>
      <c r="J69" s="16">
        <f t="shared" si="10"/>
        <v>0</v>
      </c>
    </row>
    <row r="70" spans="1:11" ht="15" customHeight="1">
      <c r="A70" s="1" t="s">
        <v>540</v>
      </c>
      <c r="B70" s="191" t="s">
        <v>541</v>
      </c>
      <c r="C70" s="16">
        <v>0</v>
      </c>
      <c r="D70" s="16">
        <v>1947</v>
      </c>
      <c r="E70" s="16">
        <v>-1947</v>
      </c>
      <c r="F70" s="16"/>
      <c r="G70" s="16"/>
      <c r="H70" s="16"/>
      <c r="I70" s="16"/>
      <c r="J70" s="16">
        <f t="shared" si="10"/>
        <v>0</v>
      </c>
    </row>
    <row r="71" spans="1:11" ht="15" customHeight="1">
      <c r="A71" s="1" t="s">
        <v>542</v>
      </c>
      <c r="B71" s="191" t="s">
        <v>543</v>
      </c>
      <c r="C71" s="16">
        <v>0</v>
      </c>
      <c r="D71" s="16">
        <v>10400</v>
      </c>
      <c r="E71" s="16">
        <v>-10400</v>
      </c>
      <c r="F71" s="16"/>
      <c r="G71" s="16"/>
      <c r="H71" s="16"/>
      <c r="I71" s="16"/>
      <c r="J71" s="16">
        <f t="shared" si="10"/>
        <v>0</v>
      </c>
    </row>
    <row r="72" spans="1:11" ht="15" customHeight="1">
      <c r="A72" s="1" t="s">
        <v>544</v>
      </c>
      <c r="B72" s="191" t="s">
        <v>545</v>
      </c>
      <c r="C72" s="16">
        <v>0</v>
      </c>
      <c r="D72" s="16">
        <v>63452.4</v>
      </c>
      <c r="E72" s="16">
        <v>-63452.4</v>
      </c>
      <c r="F72" s="16"/>
      <c r="G72" s="16"/>
      <c r="H72" s="16"/>
      <c r="I72" s="16"/>
      <c r="J72" s="16">
        <f t="shared" si="10"/>
        <v>0</v>
      </c>
    </row>
    <row r="73" spans="1:11" ht="15" customHeight="1">
      <c r="A73" s="1" t="s">
        <v>546</v>
      </c>
      <c r="B73" s="191" t="s">
        <v>549</v>
      </c>
      <c r="C73" s="16">
        <v>0</v>
      </c>
      <c r="D73" s="16">
        <v>2600</v>
      </c>
      <c r="E73" s="16">
        <v>-2600</v>
      </c>
      <c r="F73" s="16"/>
      <c r="G73" s="16"/>
      <c r="H73" s="16"/>
      <c r="I73" s="16"/>
      <c r="J73" s="16">
        <f t="shared" si="10"/>
        <v>0</v>
      </c>
    </row>
    <row r="74" spans="1:11" ht="15" customHeight="1">
      <c r="A74" s="1" t="s">
        <v>548</v>
      </c>
      <c r="B74" s="191" t="s">
        <v>547</v>
      </c>
      <c r="C74" s="16">
        <v>0</v>
      </c>
      <c r="D74" s="16">
        <v>39951.050000000003</v>
      </c>
      <c r="E74" s="16">
        <v>-39951.050000000003</v>
      </c>
      <c r="F74" s="16"/>
      <c r="G74" s="16"/>
      <c r="H74" s="16"/>
      <c r="I74" s="16"/>
      <c r="J74" s="16">
        <f t="shared" si="10"/>
        <v>0</v>
      </c>
    </row>
    <row r="75" spans="1:11" ht="15" customHeight="1">
      <c r="A75" s="1" t="s">
        <v>585</v>
      </c>
      <c r="B75" s="191" t="s">
        <v>586</v>
      </c>
      <c r="C75" s="16">
        <v>0</v>
      </c>
      <c r="D75" s="16">
        <v>0</v>
      </c>
      <c r="E75" s="16">
        <v>0</v>
      </c>
      <c r="F75" s="16"/>
      <c r="G75" s="16"/>
      <c r="H75" s="16"/>
      <c r="I75" s="16"/>
      <c r="J75" s="16">
        <f t="shared" si="10"/>
        <v>0</v>
      </c>
    </row>
    <row r="76" spans="1:11" ht="15" customHeight="1">
      <c r="A76" s="1" t="s">
        <v>550</v>
      </c>
      <c r="B76" s="140" t="s">
        <v>551</v>
      </c>
      <c r="C76" s="178">
        <v>0</v>
      </c>
      <c r="D76" s="178">
        <v>30994</v>
      </c>
      <c r="E76" s="178">
        <v>-30994</v>
      </c>
      <c r="F76" s="178"/>
      <c r="G76" s="178"/>
      <c r="H76" s="178"/>
      <c r="I76" s="178"/>
      <c r="J76" s="178">
        <f>SUM(C76:I76)</f>
        <v>0</v>
      </c>
    </row>
    <row r="77" spans="1:11" ht="15" customHeight="1">
      <c r="A77" s="8" t="s">
        <v>300</v>
      </c>
      <c r="C77" s="85">
        <f>SUM(C56:C76)</f>
        <v>27596.950000000012</v>
      </c>
      <c r="D77" s="85">
        <f t="shared" ref="D77:J77" si="11">SUM(D59:D76)</f>
        <v>1888424.63</v>
      </c>
      <c r="E77" s="85">
        <f t="shared" si="11"/>
        <v>-1900419.68</v>
      </c>
      <c r="F77" s="85">
        <f t="shared" si="11"/>
        <v>0</v>
      </c>
      <c r="G77" s="85">
        <f t="shared" si="11"/>
        <v>0</v>
      </c>
      <c r="H77" s="85">
        <f t="shared" si="11"/>
        <v>0</v>
      </c>
      <c r="I77" s="85">
        <f t="shared" si="11"/>
        <v>0</v>
      </c>
      <c r="J77" s="85">
        <f t="shared" si="11"/>
        <v>15601.899999999992</v>
      </c>
      <c r="K77" s="169" t="s">
        <v>367</v>
      </c>
    </row>
    <row r="78" spans="1:11" ht="15" customHeight="1">
      <c r="C78" s="85"/>
      <c r="D78" s="85"/>
      <c r="E78" s="85"/>
      <c r="F78" s="85"/>
      <c r="G78" s="85"/>
      <c r="H78" s="85"/>
      <c r="I78" s="85"/>
      <c r="J78" s="85"/>
    </row>
    <row r="79" spans="1:11" ht="15" customHeight="1">
      <c r="C79" s="16"/>
      <c r="D79" s="16"/>
      <c r="E79" s="16"/>
      <c r="F79" s="16"/>
      <c r="G79" s="16"/>
      <c r="H79" s="16"/>
      <c r="I79" s="16"/>
      <c r="J79" s="16"/>
    </row>
    <row r="80" spans="1:11" ht="15" customHeight="1" thickBot="1">
      <c r="A80" s="1" t="s">
        <v>306</v>
      </c>
      <c r="C80" s="91">
        <f t="shared" ref="C80:J80" si="12">+C56+C77</f>
        <v>27596.950000000012</v>
      </c>
      <c r="D80" s="91">
        <f t="shared" si="12"/>
        <v>1888424.63</v>
      </c>
      <c r="E80" s="91">
        <f t="shared" si="12"/>
        <v>-1900419.68</v>
      </c>
      <c r="F80" s="91">
        <f t="shared" si="12"/>
        <v>0</v>
      </c>
      <c r="G80" s="91">
        <f t="shared" si="12"/>
        <v>0</v>
      </c>
      <c r="H80" s="91">
        <f t="shared" si="12"/>
        <v>0</v>
      </c>
      <c r="I80" s="91">
        <f t="shared" si="12"/>
        <v>0</v>
      </c>
      <c r="J80" s="91">
        <f t="shared" si="12"/>
        <v>15601.899999999992</v>
      </c>
      <c r="K80" s="8"/>
    </row>
    <row r="81" spans="1:10" ht="15" customHeight="1" thickTop="1">
      <c r="C81" s="16"/>
      <c r="D81" s="16"/>
      <c r="E81" s="16"/>
      <c r="F81" s="16"/>
      <c r="G81" s="16"/>
      <c r="H81" s="16"/>
      <c r="I81" s="16"/>
      <c r="J81" s="16"/>
    </row>
    <row r="82" spans="1:10" ht="15" customHeight="1">
      <c r="C82" s="16"/>
      <c r="D82" s="16"/>
      <c r="E82" s="16"/>
      <c r="F82" s="16"/>
      <c r="G82" s="16"/>
      <c r="H82" s="16"/>
      <c r="I82" s="16"/>
      <c r="J82" s="16"/>
    </row>
    <row r="83" spans="1:10" ht="15" customHeight="1" thickBot="1">
      <c r="A83" t="s">
        <v>560</v>
      </c>
      <c r="C83" s="91">
        <f t="shared" ref="C83:J83" si="13">+C40+C80</f>
        <v>107790.54000000001</v>
      </c>
      <c r="D83" s="91">
        <f t="shared" si="13"/>
        <v>2523377.13</v>
      </c>
      <c r="E83" s="91">
        <f t="shared" si="13"/>
        <v>-2465783.1</v>
      </c>
      <c r="F83" s="91">
        <f t="shared" si="13"/>
        <v>0</v>
      </c>
      <c r="G83" s="91">
        <f t="shared" si="13"/>
        <v>-23213.08</v>
      </c>
      <c r="H83" s="91">
        <f t="shared" si="13"/>
        <v>-50581.55</v>
      </c>
      <c r="I83" s="91">
        <f t="shared" si="13"/>
        <v>0</v>
      </c>
      <c r="J83" s="91">
        <f t="shared" si="13"/>
        <v>91589.939999999944</v>
      </c>
    </row>
    <row r="84" spans="1:10" ht="15" customHeight="1" thickTop="1">
      <c r="C84" s="16"/>
      <c r="D84" s="16"/>
      <c r="E84" s="16"/>
      <c r="F84" s="16"/>
      <c r="G84" s="16"/>
      <c r="H84" s="16"/>
      <c r="I84" s="16"/>
      <c r="J84" s="16">
        <f>SUM(C83:I83)</f>
        <v>91589.939999999813</v>
      </c>
    </row>
    <row r="85" spans="1:10" ht="15" customHeight="1">
      <c r="C85" s="16"/>
      <c r="D85" s="16"/>
      <c r="E85" s="16"/>
      <c r="F85" s="16"/>
      <c r="G85" s="16"/>
      <c r="H85" s="16"/>
      <c r="I85" s="16"/>
      <c r="J85" s="16"/>
    </row>
  </sheetData>
  <mergeCells count="2">
    <mergeCell ref="A1:J1"/>
    <mergeCell ref="A44:J44"/>
  </mergeCells>
  <phoneticPr fontId="0" type="noConversion"/>
  <pageMargins left="0.21" right="0.21" top="1" bottom="1" header="0.5" footer="0.5"/>
  <pageSetup scale="62" fitToHeight="3" orientation="landscape" r:id="rId1"/>
  <headerFooter alignWithMargins="0"/>
  <rowBreaks count="1" manualBreakCount="1">
    <brk id="43" max="9" man="1"/>
  </rowBreaks>
  <ignoredErrors>
    <ignoredError sqref="J27:J29 J19:J23 J25 J31:J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  <pageSetUpPr fitToPage="1"/>
  </sheetPr>
  <dimension ref="A1:V84"/>
  <sheetViews>
    <sheetView zoomScaleNormal="100" workbookViewId="0">
      <pane xSplit="1" ySplit="7" topLeftCell="B56" activePane="bottomRight" state="frozen"/>
      <selection pane="topRight" activeCell="B1" sqref="B1"/>
      <selection pane="bottomLeft" activeCell="A9" sqref="A9"/>
      <selection pane="bottomRight" activeCell="B79" sqref="B78:B79"/>
    </sheetView>
  </sheetViews>
  <sheetFormatPr defaultColWidth="7.109375" defaultRowHeight="15.75" customHeight="1"/>
  <cols>
    <col min="1" max="1" width="42.77734375" style="43" customWidth="1"/>
    <col min="2" max="2" width="17.77734375" style="43" customWidth="1"/>
    <col min="3" max="3" width="2.88671875" style="43" customWidth="1"/>
    <col min="4" max="4" width="17.77734375" style="161" customWidth="1"/>
    <col min="5" max="5" width="2.88671875" style="43" customWidth="1"/>
    <col min="6" max="6" width="17.77734375" style="161" customWidth="1"/>
    <col min="7" max="7" width="2.88671875" style="43" customWidth="1"/>
    <col min="8" max="8" width="17.77734375" style="161" customWidth="1"/>
    <col min="9" max="9" width="2.88671875" style="43" customWidth="1"/>
    <col min="10" max="10" width="17.77734375" style="161" customWidth="1"/>
    <col min="11" max="11" width="2.88671875" style="43" customWidth="1"/>
    <col min="12" max="12" width="17.77734375" style="161" customWidth="1"/>
    <col min="13" max="13" width="2.88671875" style="43" customWidth="1"/>
    <col min="14" max="14" width="17.77734375" style="161" customWidth="1"/>
    <col min="15" max="15" width="2.88671875" style="43" customWidth="1"/>
    <col min="16" max="16" width="17.77734375" style="161" hidden="1" customWidth="1"/>
    <col min="17" max="17" width="2.88671875" style="43" hidden="1" customWidth="1"/>
    <col min="18" max="18" width="17.77734375" style="161" customWidth="1"/>
    <col min="19" max="19" width="2.88671875" style="43" customWidth="1"/>
    <col min="20" max="20" width="17.77734375" style="43" customWidth="1"/>
    <col min="21" max="16384" width="7.109375" style="43"/>
  </cols>
  <sheetData>
    <row r="1" spans="1:22" ht="15.75" customHeight="1">
      <c r="A1" s="257" t="s">
        <v>46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32"/>
      <c r="V1" s="32"/>
    </row>
    <row r="2" spans="1:22" ht="15.75" customHeight="1">
      <c r="A2" s="257" t="s">
        <v>260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32"/>
      <c r="V2" s="32"/>
    </row>
    <row r="3" spans="1:22" ht="15.75" customHeight="1">
      <c r="A3" s="257" t="s">
        <v>845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32"/>
      <c r="V3" s="32"/>
    </row>
    <row r="4" spans="1:22" ht="15.75" customHeight="1">
      <c r="A4" s="97"/>
      <c r="B4" s="98"/>
      <c r="C4" s="98"/>
      <c r="D4" s="154"/>
      <c r="E4" s="98"/>
      <c r="F4" s="154"/>
      <c r="G4" s="98"/>
      <c r="H4" s="154"/>
      <c r="I4" s="98"/>
      <c r="J4" s="154"/>
      <c r="K4" s="98"/>
      <c r="L4" s="154"/>
      <c r="M4" s="97"/>
      <c r="O4" s="32"/>
      <c r="P4" s="162"/>
      <c r="Q4" s="32"/>
      <c r="R4" s="162"/>
      <c r="S4" s="32"/>
      <c r="T4" s="32"/>
      <c r="U4" s="32"/>
      <c r="V4" s="32"/>
    </row>
    <row r="5" spans="1:22" s="24" customFormat="1" ht="15.75" customHeight="1">
      <c r="D5" s="155" t="s">
        <v>264</v>
      </c>
      <c r="F5" s="155" t="s">
        <v>263</v>
      </c>
      <c r="H5" s="155" t="s">
        <v>261</v>
      </c>
      <c r="J5" s="155" t="s">
        <v>262</v>
      </c>
      <c r="L5" s="155" t="s">
        <v>786</v>
      </c>
      <c r="M5" s="238"/>
      <c r="N5" s="155" t="s">
        <v>30</v>
      </c>
      <c r="O5" s="238"/>
      <c r="P5" s="155" t="s">
        <v>31</v>
      </c>
      <c r="Q5" s="238"/>
      <c r="R5" s="155" t="s">
        <v>32</v>
      </c>
    </row>
    <row r="6" spans="1:22" s="24" customFormat="1" ht="15.75" customHeight="1">
      <c r="B6" s="156" t="s">
        <v>264</v>
      </c>
      <c r="D6" s="156" t="s">
        <v>276</v>
      </c>
      <c r="F6" s="156" t="s">
        <v>267</v>
      </c>
      <c r="H6" s="156" t="s">
        <v>265</v>
      </c>
      <c r="J6" s="156" t="s">
        <v>266</v>
      </c>
      <c r="L6" s="156" t="s">
        <v>787</v>
      </c>
      <c r="M6" s="238"/>
      <c r="N6" s="156" t="s">
        <v>276</v>
      </c>
      <c r="O6" s="238"/>
      <c r="P6" s="156" t="s">
        <v>267</v>
      </c>
      <c r="Q6" s="238"/>
      <c r="R6" s="156" t="s">
        <v>33</v>
      </c>
      <c r="T6" s="45" t="s">
        <v>268</v>
      </c>
    </row>
    <row r="7" spans="1:22" s="24" customFormat="1" ht="15.75" customHeight="1">
      <c r="A7" s="46" t="s">
        <v>269</v>
      </c>
      <c r="B7" s="25"/>
      <c r="C7" s="25"/>
      <c r="D7" s="162"/>
      <c r="E7" s="25"/>
      <c r="F7" s="96"/>
      <c r="G7" s="25"/>
      <c r="H7" s="96"/>
      <c r="I7" s="25"/>
      <c r="J7" s="96"/>
      <c r="K7" s="25"/>
      <c r="L7" s="96"/>
      <c r="M7" s="25"/>
      <c r="N7" s="162"/>
      <c r="O7" s="25"/>
      <c r="P7" s="96"/>
      <c r="Q7" s="25"/>
      <c r="R7" s="96"/>
      <c r="S7" s="25"/>
      <c r="T7" s="25"/>
    </row>
    <row r="8" spans="1:22" s="24" customFormat="1" ht="15.75" customHeight="1">
      <c r="A8" s="24" t="s">
        <v>223</v>
      </c>
      <c r="B8" s="25">
        <f>350+100+5502888.32</f>
        <v>5503338.3200000003</v>
      </c>
      <c r="C8" s="25"/>
      <c r="D8" s="96"/>
      <c r="E8" s="25"/>
      <c r="F8" s="96"/>
      <c r="G8" s="25"/>
      <c r="H8" s="96">
        <v>1033764.05</v>
      </c>
      <c r="I8" s="25"/>
      <c r="J8" s="96">
        <v>4876024.07</v>
      </c>
      <c r="K8" s="25"/>
      <c r="L8" s="96">
        <f>866935.68+24421.06</f>
        <v>891356.74000000011</v>
      </c>
      <c r="M8" s="25"/>
      <c r="N8" s="96"/>
      <c r="O8" s="25"/>
      <c r="P8" s="96"/>
      <c r="Q8" s="25"/>
      <c r="R8" s="96">
        <v>5780995.6500000004</v>
      </c>
      <c r="S8" s="25"/>
      <c r="T8" s="96">
        <f t="shared" ref="T8:T41" si="0">SUM(B8:R8)</f>
        <v>18085478.830000002</v>
      </c>
    </row>
    <row r="9" spans="1:22" s="24" customFormat="1" ht="15.75" customHeight="1">
      <c r="A9" s="24" t="s">
        <v>743</v>
      </c>
      <c r="B9" s="25">
        <v>33.520000000000003</v>
      </c>
      <c r="C9" s="25"/>
      <c r="D9" s="96"/>
      <c r="E9" s="25"/>
      <c r="F9" s="96"/>
      <c r="G9" s="25"/>
      <c r="H9" s="96"/>
      <c r="I9" s="25"/>
      <c r="J9" s="96"/>
      <c r="K9" s="25"/>
      <c r="L9" s="96"/>
      <c r="M9" s="25"/>
      <c r="N9" s="96"/>
      <c r="O9" s="25"/>
      <c r="P9" s="96"/>
      <c r="Q9" s="25"/>
      <c r="R9" s="96"/>
      <c r="S9" s="25"/>
      <c r="T9" s="96">
        <f t="shared" si="0"/>
        <v>33.520000000000003</v>
      </c>
    </row>
    <row r="10" spans="1:22" s="24" customFormat="1" ht="15.75" hidden="1" customHeight="1">
      <c r="A10" s="24" t="s">
        <v>801</v>
      </c>
      <c r="B10" s="25"/>
      <c r="C10" s="25"/>
      <c r="D10" s="96"/>
      <c r="E10" s="25"/>
      <c r="F10" s="96"/>
      <c r="G10" s="25"/>
      <c r="H10" s="96"/>
      <c r="I10" s="25"/>
      <c r="J10" s="96"/>
      <c r="K10" s="25"/>
      <c r="L10" s="96"/>
      <c r="M10" s="25"/>
      <c r="N10" s="96"/>
      <c r="O10" s="25"/>
      <c r="P10" s="96"/>
      <c r="Q10" s="25"/>
      <c r="R10" s="96">
        <v>0</v>
      </c>
      <c r="S10" s="25"/>
      <c r="T10" s="96">
        <f t="shared" si="0"/>
        <v>0</v>
      </c>
    </row>
    <row r="11" spans="1:22" s="24" customFormat="1" ht="15.75" customHeight="1">
      <c r="A11" s="24" t="s">
        <v>89</v>
      </c>
      <c r="B11" s="25">
        <v>85041.71</v>
      </c>
      <c r="C11" s="25"/>
      <c r="D11" s="96" t="s">
        <v>0</v>
      </c>
      <c r="E11" s="25"/>
      <c r="F11" s="96"/>
      <c r="G11" s="25"/>
      <c r="H11" s="96"/>
      <c r="I11" s="25"/>
      <c r="J11" s="96"/>
      <c r="K11" s="25"/>
      <c r="L11" s="96"/>
      <c r="M11" s="25"/>
      <c r="N11" s="96" t="s">
        <v>0</v>
      </c>
      <c r="O11" s="25"/>
      <c r="P11" s="96"/>
      <c r="Q11" s="25"/>
      <c r="R11" s="96"/>
      <c r="S11" s="25"/>
      <c r="T11" s="25">
        <f t="shared" si="0"/>
        <v>85041.71</v>
      </c>
    </row>
    <row r="12" spans="1:22" s="24" customFormat="1" ht="15.75" customHeight="1">
      <c r="A12" s="24" t="s">
        <v>142</v>
      </c>
      <c r="B12" s="25">
        <v>589929.93000000005</v>
      </c>
      <c r="C12" s="25"/>
      <c r="D12" s="96"/>
      <c r="E12" s="25"/>
      <c r="F12" s="96"/>
      <c r="G12" s="25"/>
      <c r="H12" s="96"/>
      <c r="I12" s="25"/>
      <c r="J12" s="96"/>
      <c r="K12" s="25"/>
      <c r="L12" s="96"/>
      <c r="M12" s="25"/>
      <c r="N12" s="96"/>
      <c r="O12" s="25"/>
      <c r="P12" s="96"/>
      <c r="Q12" s="25"/>
      <c r="R12" s="96"/>
      <c r="S12" s="25"/>
      <c r="T12" s="25">
        <f t="shared" si="0"/>
        <v>589929.93000000005</v>
      </c>
    </row>
    <row r="13" spans="1:22" s="24" customFormat="1" ht="15.75" customHeight="1">
      <c r="A13" s="24" t="s">
        <v>383</v>
      </c>
      <c r="B13" s="25">
        <v>1747.3</v>
      </c>
      <c r="C13" s="25"/>
      <c r="D13" s="96"/>
      <c r="E13" s="25"/>
      <c r="F13" s="96"/>
      <c r="G13" s="25"/>
      <c r="H13" s="96"/>
      <c r="I13" s="25"/>
      <c r="J13" s="96"/>
      <c r="K13" s="25"/>
      <c r="L13" s="96"/>
      <c r="M13" s="25"/>
      <c r="N13" s="96"/>
      <c r="O13" s="25"/>
      <c r="P13" s="96"/>
      <c r="Q13" s="25"/>
      <c r="R13" s="96"/>
      <c r="S13" s="25"/>
      <c r="T13" s="25">
        <f t="shared" si="0"/>
        <v>1747.3</v>
      </c>
    </row>
    <row r="14" spans="1:22" s="24" customFormat="1" ht="15.75" customHeight="1">
      <c r="A14" s="24" t="s">
        <v>270</v>
      </c>
      <c r="B14" s="25">
        <v>-1749802.63</v>
      </c>
      <c r="C14" s="25"/>
      <c r="D14" s="96"/>
      <c r="E14" s="25"/>
      <c r="F14" s="96"/>
      <c r="G14" s="25"/>
      <c r="H14" s="96"/>
      <c r="I14" s="25"/>
      <c r="J14" s="96"/>
      <c r="K14" s="25"/>
      <c r="L14" s="96"/>
      <c r="M14" s="25"/>
      <c r="N14" s="96"/>
      <c r="O14" s="25"/>
      <c r="P14" s="96"/>
      <c r="Q14" s="25"/>
      <c r="R14" s="96"/>
      <c r="S14" s="25"/>
      <c r="T14" s="25">
        <f t="shared" si="0"/>
        <v>-1749802.63</v>
      </c>
    </row>
    <row r="15" spans="1:22" s="24" customFormat="1" ht="15.75" customHeight="1">
      <c r="A15" s="24" t="s">
        <v>81</v>
      </c>
      <c r="B15" s="25">
        <v>670807.78</v>
      </c>
      <c r="C15" s="25"/>
      <c r="D15" s="96"/>
      <c r="E15" s="25"/>
      <c r="F15" s="96"/>
      <c r="G15" s="25"/>
      <c r="H15" s="96"/>
      <c r="I15" s="25"/>
      <c r="J15" s="96"/>
      <c r="K15" s="25"/>
      <c r="L15" s="96"/>
      <c r="M15" s="25"/>
      <c r="N15" s="96"/>
      <c r="O15" s="25"/>
      <c r="P15" s="96"/>
      <c r="Q15" s="25"/>
      <c r="R15" s="96"/>
      <c r="S15" s="25"/>
      <c r="T15" s="25">
        <f t="shared" si="0"/>
        <v>670807.78</v>
      </c>
    </row>
    <row r="16" spans="1:22" s="24" customFormat="1" ht="15.75" customHeight="1">
      <c r="A16" s="24" t="s">
        <v>90</v>
      </c>
      <c r="B16" s="25">
        <v>26132.71</v>
      </c>
      <c r="C16" s="25"/>
      <c r="D16" s="96"/>
      <c r="E16" s="25"/>
      <c r="F16" s="96"/>
      <c r="G16" s="25"/>
      <c r="H16" s="96"/>
      <c r="I16" s="25"/>
      <c r="J16" s="96"/>
      <c r="K16" s="25"/>
      <c r="L16" s="96"/>
      <c r="M16" s="25"/>
      <c r="N16" s="96"/>
      <c r="O16" s="25"/>
      <c r="P16" s="96"/>
      <c r="Q16" s="25"/>
      <c r="R16" s="96"/>
      <c r="S16" s="25"/>
      <c r="T16" s="25">
        <f t="shared" si="0"/>
        <v>26132.71</v>
      </c>
    </row>
    <row r="17" spans="1:20" s="24" customFormat="1" ht="15.75" hidden="1" customHeight="1">
      <c r="A17" s="24" t="s">
        <v>144</v>
      </c>
      <c r="B17" s="25"/>
      <c r="C17" s="25"/>
      <c r="D17" s="96"/>
      <c r="E17" s="25"/>
      <c r="F17" s="96"/>
      <c r="G17" s="25"/>
      <c r="H17" s="96"/>
      <c r="I17" s="25"/>
      <c r="J17" s="96"/>
      <c r="K17" s="25"/>
      <c r="L17" s="96"/>
      <c r="M17" s="25"/>
      <c r="N17" s="96"/>
      <c r="O17" s="25"/>
      <c r="P17" s="96"/>
      <c r="Q17" s="25"/>
      <c r="R17" s="96"/>
      <c r="S17" s="25"/>
      <c r="T17" s="25">
        <f t="shared" si="0"/>
        <v>0</v>
      </c>
    </row>
    <row r="18" spans="1:20" s="24" customFormat="1" ht="15.75" customHeight="1">
      <c r="A18" s="24" t="s">
        <v>82</v>
      </c>
      <c r="B18" s="25">
        <v>303842.14</v>
      </c>
      <c r="C18" s="25"/>
      <c r="D18" s="96"/>
      <c r="E18" s="25"/>
      <c r="F18" s="96"/>
      <c r="G18" s="25"/>
      <c r="H18" s="96"/>
      <c r="I18" s="25"/>
      <c r="J18" s="96"/>
      <c r="K18" s="25"/>
      <c r="L18" s="96"/>
      <c r="M18" s="25"/>
      <c r="N18" s="96"/>
      <c r="O18" s="25"/>
      <c r="P18" s="96"/>
      <c r="Q18" s="25"/>
      <c r="R18" s="96"/>
      <c r="S18" s="25"/>
      <c r="T18" s="25">
        <f t="shared" si="0"/>
        <v>303842.14</v>
      </c>
    </row>
    <row r="19" spans="1:20" s="24" customFormat="1" ht="15.75" customHeight="1">
      <c r="A19" s="24" t="s">
        <v>83</v>
      </c>
      <c r="B19" s="25">
        <v>2113</v>
      </c>
      <c r="C19" s="25"/>
      <c r="D19" s="96"/>
      <c r="E19" s="25"/>
      <c r="F19" s="96"/>
      <c r="G19" s="25"/>
      <c r="H19" s="96"/>
      <c r="I19" s="25"/>
      <c r="J19" s="96"/>
      <c r="K19" s="25"/>
      <c r="L19" s="96"/>
      <c r="M19" s="25"/>
      <c r="N19" s="96"/>
      <c r="O19" s="25"/>
      <c r="P19" s="96"/>
      <c r="Q19" s="25"/>
      <c r="R19" s="96"/>
      <c r="S19" s="25"/>
      <c r="T19" s="25">
        <f t="shared" si="0"/>
        <v>2113</v>
      </c>
    </row>
    <row r="20" spans="1:20" s="24" customFormat="1" ht="15.75" customHeight="1">
      <c r="A20" s="24" t="s">
        <v>566</v>
      </c>
      <c r="B20" s="25"/>
      <c r="C20" s="25"/>
      <c r="D20" s="96"/>
      <c r="E20" s="25"/>
      <c r="F20" s="96"/>
      <c r="G20" s="25"/>
      <c r="H20" s="96"/>
      <c r="I20" s="25"/>
      <c r="J20" s="96"/>
      <c r="K20" s="25"/>
      <c r="L20" s="96">
        <f>169409.37+0.66+31541.63+0.02-1322.96+390</f>
        <v>200018.72</v>
      </c>
      <c r="M20" s="25"/>
      <c r="N20" s="96"/>
      <c r="O20" s="25"/>
      <c r="P20" s="96"/>
      <c r="Q20" s="25"/>
      <c r="R20" s="96"/>
      <c r="S20" s="25"/>
      <c r="T20" s="25">
        <f t="shared" si="0"/>
        <v>200018.72</v>
      </c>
    </row>
    <row r="21" spans="1:20" s="24" customFormat="1" ht="15.75" customHeight="1">
      <c r="A21" s="24" t="s">
        <v>567</v>
      </c>
      <c r="B21" s="25"/>
      <c r="C21" s="25"/>
      <c r="D21" s="96"/>
      <c r="E21" s="25"/>
      <c r="F21" s="96"/>
      <c r="G21" s="25"/>
      <c r="H21" s="96"/>
      <c r="I21" s="25"/>
      <c r="J21" s="96"/>
      <c r="K21" s="25"/>
      <c r="L21" s="96">
        <f>286.45+24.78</f>
        <v>311.23</v>
      </c>
      <c r="M21" s="25"/>
      <c r="N21" s="96"/>
      <c r="O21" s="25"/>
      <c r="P21" s="96"/>
      <c r="Q21" s="25"/>
      <c r="R21" s="96"/>
      <c r="S21" s="25"/>
      <c r="T21" s="25">
        <f t="shared" si="0"/>
        <v>311.23</v>
      </c>
    </row>
    <row r="22" spans="1:20" s="24" customFormat="1" ht="15.75" customHeight="1">
      <c r="A22" s="24" t="s">
        <v>568</v>
      </c>
      <c r="B22" s="25"/>
      <c r="C22" s="25"/>
      <c r="D22" s="96"/>
      <c r="E22" s="25"/>
      <c r="F22" s="96"/>
      <c r="G22" s="25"/>
      <c r="H22" s="96"/>
      <c r="I22" s="25"/>
      <c r="J22" s="96"/>
      <c r="K22" s="25"/>
      <c r="L22" s="96">
        <f>4120.36+293.09</f>
        <v>4413.45</v>
      </c>
      <c r="M22" s="25"/>
      <c r="N22" s="96"/>
      <c r="O22" s="25"/>
      <c r="P22" s="96"/>
      <c r="Q22" s="25"/>
      <c r="R22" s="96"/>
      <c r="S22" s="25"/>
      <c r="T22" s="25">
        <f t="shared" si="0"/>
        <v>4413.45</v>
      </c>
    </row>
    <row r="23" spans="1:20" s="24" customFormat="1" ht="15.75" customHeight="1">
      <c r="A23" s="24" t="s">
        <v>272</v>
      </c>
      <c r="B23" s="25">
        <v>902.08</v>
      </c>
      <c r="C23" s="25"/>
      <c r="D23" s="96"/>
      <c r="E23" s="25"/>
      <c r="F23" s="96"/>
      <c r="G23" s="25"/>
      <c r="H23" s="96"/>
      <c r="I23" s="25"/>
      <c r="J23" s="96"/>
      <c r="K23" s="25"/>
      <c r="L23" s="96"/>
      <c r="M23" s="25"/>
      <c r="N23" s="96"/>
      <c r="O23" s="25"/>
      <c r="P23" s="96"/>
      <c r="Q23" s="25"/>
      <c r="R23" s="96">
        <v>30914.38</v>
      </c>
      <c r="S23" s="25"/>
      <c r="T23" s="25">
        <f t="shared" si="0"/>
        <v>31816.460000000003</v>
      </c>
    </row>
    <row r="24" spans="1:20" s="24" customFormat="1" ht="15.75" customHeight="1">
      <c r="A24" s="24" t="s">
        <v>271</v>
      </c>
      <c r="B24" s="25">
        <v>65.72</v>
      </c>
      <c r="C24" s="25"/>
      <c r="D24" s="96"/>
      <c r="E24" s="25"/>
      <c r="F24" s="96"/>
      <c r="G24" s="25"/>
      <c r="H24" s="96"/>
      <c r="I24" s="25"/>
      <c r="J24" s="96"/>
      <c r="K24" s="25"/>
      <c r="L24" s="96"/>
      <c r="M24" s="25"/>
      <c r="N24" s="96"/>
      <c r="O24" s="25"/>
      <c r="P24" s="96"/>
      <c r="Q24" s="25"/>
      <c r="R24" s="96">
        <v>657.18</v>
      </c>
      <c r="S24" s="25"/>
      <c r="T24" s="25">
        <f t="shared" si="0"/>
        <v>722.9</v>
      </c>
    </row>
    <row r="25" spans="1:20" s="24" customFormat="1" ht="15.75" hidden="1" customHeight="1">
      <c r="A25" s="24" t="s">
        <v>1</v>
      </c>
      <c r="B25" s="25"/>
      <c r="C25" s="25"/>
      <c r="D25" s="96"/>
      <c r="E25" s="25"/>
      <c r="F25" s="96"/>
      <c r="G25" s="25"/>
      <c r="H25" s="96"/>
      <c r="I25" s="25"/>
      <c r="J25" s="96"/>
      <c r="K25" s="25"/>
      <c r="L25" s="96"/>
      <c r="M25" s="25"/>
      <c r="N25" s="96"/>
      <c r="O25" s="25"/>
      <c r="P25" s="96"/>
      <c r="Q25" s="25"/>
      <c r="R25" s="96"/>
      <c r="S25" s="25"/>
      <c r="T25" s="25">
        <f t="shared" si="0"/>
        <v>0</v>
      </c>
    </row>
    <row r="26" spans="1:20" s="24" customFormat="1" ht="15.75" customHeight="1">
      <c r="A26" s="24" t="s">
        <v>123</v>
      </c>
      <c r="B26" s="25">
        <v>194453.42</v>
      </c>
      <c r="C26" s="25"/>
      <c r="D26" s="96"/>
      <c r="E26" s="25"/>
      <c r="F26" s="96"/>
      <c r="G26" s="25"/>
      <c r="H26" s="96"/>
      <c r="I26" s="25"/>
      <c r="J26" s="96"/>
      <c r="K26" s="25"/>
      <c r="L26" s="96"/>
      <c r="M26" s="25"/>
      <c r="N26" s="96"/>
      <c r="O26" s="25"/>
      <c r="P26" s="96"/>
      <c r="Q26" s="25"/>
      <c r="R26" s="96"/>
      <c r="S26" s="25"/>
      <c r="T26" s="25">
        <f t="shared" si="0"/>
        <v>194453.42</v>
      </c>
    </row>
    <row r="27" spans="1:20" s="24" customFormat="1" ht="15.75" customHeight="1">
      <c r="A27" s="24" t="s">
        <v>355</v>
      </c>
      <c r="B27" s="25"/>
      <c r="C27" s="25"/>
      <c r="D27" s="96"/>
      <c r="E27" s="25"/>
      <c r="F27" s="96"/>
      <c r="G27" s="25"/>
      <c r="H27" s="96">
        <v>40228.74</v>
      </c>
      <c r="I27" s="25"/>
      <c r="J27" s="96"/>
      <c r="K27" s="25"/>
      <c r="L27" s="96"/>
      <c r="M27" s="25"/>
      <c r="N27" s="96"/>
      <c r="O27" s="25"/>
      <c r="P27" s="96"/>
      <c r="Q27" s="25"/>
      <c r="R27" s="96"/>
      <c r="S27" s="25"/>
      <c r="T27" s="25">
        <f t="shared" si="0"/>
        <v>40228.74</v>
      </c>
    </row>
    <row r="28" spans="1:20" s="24" customFormat="1" ht="15.75" customHeight="1">
      <c r="A28" s="24" t="s">
        <v>120</v>
      </c>
      <c r="B28" s="25"/>
      <c r="C28" s="25"/>
      <c r="D28" s="96"/>
      <c r="E28" s="25"/>
      <c r="F28" s="96"/>
      <c r="G28" s="25"/>
      <c r="H28" s="96"/>
      <c r="I28" s="25"/>
      <c r="J28" s="96"/>
      <c r="K28" s="25"/>
      <c r="L28" s="96">
        <v>12242.8</v>
      </c>
      <c r="M28" s="25"/>
      <c r="N28" s="96"/>
      <c r="O28" s="25"/>
      <c r="P28" s="96"/>
      <c r="Q28" s="25"/>
      <c r="R28" s="96"/>
      <c r="S28" s="25"/>
      <c r="T28" s="25">
        <f t="shared" si="0"/>
        <v>12242.8</v>
      </c>
    </row>
    <row r="29" spans="1:20" s="24" customFormat="1" ht="15.75" customHeight="1">
      <c r="A29" s="24" t="s">
        <v>121</v>
      </c>
      <c r="B29" s="25"/>
      <c r="C29" s="25"/>
      <c r="D29" s="96"/>
      <c r="E29" s="25"/>
      <c r="F29" s="96"/>
      <c r="G29" s="25"/>
      <c r="H29" s="96"/>
      <c r="I29" s="25"/>
      <c r="J29" s="96"/>
      <c r="K29" s="25"/>
      <c r="L29" s="96">
        <v>923.75</v>
      </c>
      <c r="M29" s="25"/>
      <c r="N29" s="96"/>
      <c r="O29" s="25"/>
      <c r="P29" s="96"/>
      <c r="Q29" s="25"/>
      <c r="R29" s="96"/>
      <c r="S29" s="25"/>
      <c r="T29" s="25">
        <f t="shared" si="0"/>
        <v>923.75</v>
      </c>
    </row>
    <row r="30" spans="1:20" s="24" customFormat="1" ht="15.75" customHeight="1">
      <c r="A30" s="24" t="s">
        <v>122</v>
      </c>
      <c r="B30" s="25"/>
      <c r="C30" s="25"/>
      <c r="D30" s="96"/>
      <c r="E30" s="25"/>
      <c r="F30" s="96"/>
      <c r="G30" s="25"/>
      <c r="H30" s="96"/>
      <c r="I30" s="25"/>
      <c r="J30" s="96"/>
      <c r="K30" s="25"/>
      <c r="L30" s="96">
        <v>266.97000000000003</v>
      </c>
      <c r="M30" s="25"/>
      <c r="N30" s="96"/>
      <c r="O30" s="25"/>
      <c r="P30" s="96"/>
      <c r="Q30" s="25"/>
      <c r="R30" s="96"/>
      <c r="S30" s="25"/>
      <c r="T30" s="25">
        <f t="shared" si="0"/>
        <v>266.97000000000003</v>
      </c>
    </row>
    <row r="31" spans="1:20" s="24" customFormat="1" ht="15.75" hidden="1" customHeight="1">
      <c r="A31" s="24" t="s">
        <v>570</v>
      </c>
      <c r="B31" s="25"/>
      <c r="C31" s="25"/>
      <c r="D31" s="96"/>
      <c r="E31" s="25"/>
      <c r="F31" s="96"/>
      <c r="G31" s="25"/>
      <c r="H31" s="96"/>
      <c r="I31" s="25"/>
      <c r="J31" s="96"/>
      <c r="K31" s="25"/>
      <c r="L31" s="96"/>
      <c r="M31" s="25"/>
      <c r="N31" s="96"/>
      <c r="O31" s="25"/>
      <c r="P31" s="96"/>
      <c r="Q31" s="25"/>
      <c r="R31" s="96"/>
      <c r="S31" s="25"/>
      <c r="T31" s="25">
        <f t="shared" si="0"/>
        <v>0</v>
      </c>
    </row>
    <row r="32" spans="1:20" s="24" customFormat="1" ht="15.75" customHeight="1">
      <c r="A32" s="24" t="s">
        <v>569</v>
      </c>
      <c r="B32" s="25"/>
      <c r="C32" s="25"/>
      <c r="D32" s="96"/>
      <c r="E32" s="25"/>
      <c r="F32" s="96"/>
      <c r="G32" s="25"/>
      <c r="H32" s="96"/>
      <c r="I32" s="25"/>
      <c r="J32" s="96"/>
      <c r="K32" s="25"/>
      <c r="L32" s="96">
        <f>2907.22+1310.01</f>
        <v>4217.2299999999996</v>
      </c>
      <c r="M32" s="25"/>
      <c r="N32" s="96"/>
      <c r="O32" s="25"/>
      <c r="P32" s="96"/>
      <c r="Q32" s="25"/>
      <c r="R32" s="96"/>
      <c r="S32" s="25"/>
      <c r="T32" s="25">
        <f t="shared" si="0"/>
        <v>4217.2299999999996</v>
      </c>
    </row>
    <row r="33" spans="1:20" s="24" customFormat="1" ht="15.75" hidden="1" customHeight="1">
      <c r="A33" s="24" t="s">
        <v>274</v>
      </c>
      <c r="B33" s="25"/>
      <c r="C33" s="25"/>
      <c r="D33" s="96"/>
      <c r="E33" s="25"/>
      <c r="F33" s="96"/>
      <c r="G33" s="25"/>
      <c r="H33" s="96"/>
      <c r="I33" s="25"/>
      <c r="J33" s="96"/>
      <c r="K33" s="25"/>
      <c r="L33" s="96"/>
      <c r="M33" s="25"/>
      <c r="N33" s="96"/>
      <c r="O33" s="25"/>
      <c r="P33" s="96"/>
      <c r="Q33" s="25"/>
      <c r="R33" s="96"/>
      <c r="S33" s="25"/>
      <c r="T33" s="25">
        <f t="shared" si="0"/>
        <v>0</v>
      </c>
    </row>
    <row r="34" spans="1:20" s="24" customFormat="1" ht="15.75" customHeight="1">
      <c r="A34" s="24" t="s">
        <v>372</v>
      </c>
      <c r="B34" s="25"/>
      <c r="C34" s="25"/>
      <c r="D34" s="96"/>
      <c r="E34" s="25"/>
      <c r="F34" s="96"/>
      <c r="G34" s="25"/>
      <c r="H34" s="96">
        <v>14867.71</v>
      </c>
      <c r="I34" s="25"/>
      <c r="J34" s="96"/>
      <c r="K34" s="25"/>
      <c r="L34" s="96"/>
      <c r="M34" s="25"/>
      <c r="N34" s="96"/>
      <c r="O34" s="25"/>
      <c r="P34" s="96"/>
      <c r="Q34" s="25"/>
      <c r="R34" s="96"/>
      <c r="S34" s="25"/>
      <c r="T34" s="25">
        <f t="shared" si="0"/>
        <v>14867.71</v>
      </c>
    </row>
    <row r="35" spans="1:20" s="24" customFormat="1" ht="15.75" customHeight="1">
      <c r="A35" s="24" t="s">
        <v>273</v>
      </c>
      <c r="B35" s="25">
        <v>94461</v>
      </c>
      <c r="C35" s="25"/>
      <c r="D35" s="96"/>
      <c r="E35" s="25"/>
      <c r="F35" s="96"/>
      <c r="G35" s="25"/>
      <c r="H35" s="96">
        <v>38381.47</v>
      </c>
      <c r="I35" s="25"/>
      <c r="J35" s="96">
        <v>-57.88</v>
      </c>
      <c r="K35" s="25"/>
      <c r="L35" s="96">
        <v>0</v>
      </c>
      <c r="M35" s="25"/>
      <c r="N35" s="96"/>
      <c r="O35" s="25"/>
      <c r="P35" s="96"/>
      <c r="Q35" s="25"/>
      <c r="R35" s="96"/>
      <c r="S35" s="25"/>
      <c r="T35" s="25">
        <f t="shared" si="0"/>
        <v>132784.59</v>
      </c>
    </row>
    <row r="36" spans="1:20" s="24" customFormat="1" ht="15.75" hidden="1" customHeight="1">
      <c r="A36" s="24" t="s">
        <v>577</v>
      </c>
      <c r="B36" s="25"/>
      <c r="C36" s="25"/>
      <c r="D36" s="96"/>
      <c r="E36" s="25"/>
      <c r="F36" s="96"/>
      <c r="G36" s="25"/>
      <c r="H36" s="96"/>
      <c r="I36" s="25"/>
      <c r="J36" s="96"/>
      <c r="K36" s="25"/>
      <c r="L36" s="96"/>
      <c r="M36" s="25"/>
      <c r="N36" s="96"/>
      <c r="O36" s="25"/>
      <c r="P36" s="96"/>
      <c r="Q36" s="25"/>
      <c r="R36" s="96"/>
      <c r="S36" s="25"/>
      <c r="T36" s="25">
        <f t="shared" si="0"/>
        <v>0</v>
      </c>
    </row>
    <row r="37" spans="1:20" s="24" customFormat="1" ht="15.75" hidden="1" customHeight="1">
      <c r="A37" s="24" t="s">
        <v>578</v>
      </c>
      <c r="B37" s="25"/>
      <c r="C37" s="25"/>
      <c r="D37" s="96"/>
      <c r="E37" s="25"/>
      <c r="F37" s="96"/>
      <c r="G37" s="25"/>
      <c r="H37" s="96"/>
      <c r="I37" s="25"/>
      <c r="J37" s="96"/>
      <c r="K37" s="25"/>
      <c r="L37" s="96"/>
      <c r="M37" s="25"/>
      <c r="N37" s="96"/>
      <c r="O37" s="25"/>
      <c r="P37" s="96"/>
      <c r="Q37" s="25"/>
      <c r="R37" s="96"/>
      <c r="S37" s="25"/>
      <c r="T37" s="25">
        <f t="shared" si="0"/>
        <v>0</v>
      </c>
    </row>
    <row r="38" spans="1:20" s="24" customFormat="1" ht="15.75" customHeight="1">
      <c r="A38" s="24" t="s">
        <v>222</v>
      </c>
      <c r="B38" s="25">
        <v>475678.47</v>
      </c>
      <c r="C38" s="25"/>
      <c r="D38" s="96"/>
      <c r="E38" s="25"/>
      <c r="F38" s="96"/>
      <c r="G38" s="25"/>
      <c r="H38" s="96"/>
      <c r="I38" s="25"/>
      <c r="J38" s="96"/>
      <c r="K38" s="25"/>
      <c r="L38" s="96"/>
      <c r="M38" s="25"/>
      <c r="N38" s="96"/>
      <c r="O38" s="25"/>
      <c r="P38" s="96"/>
      <c r="Q38" s="25"/>
      <c r="R38" s="96"/>
      <c r="S38" s="25"/>
      <c r="T38" s="25">
        <f t="shared" si="0"/>
        <v>475678.47</v>
      </c>
    </row>
    <row r="39" spans="1:20" s="24" customFormat="1" ht="15.75" customHeight="1">
      <c r="A39" s="24" t="s">
        <v>747</v>
      </c>
      <c r="B39" s="26"/>
      <c r="C39" s="26"/>
      <c r="D39" s="157">
        <f>1187634.79+11589663.74-5806778.08+314606.31-153508.18+2202604.47-1465417.69+10087039.31+32055123.66-23600225.66+3843759.65-2641895.96</f>
        <v>27612606.359999996</v>
      </c>
      <c r="E39" s="26"/>
      <c r="F39" s="157"/>
      <c r="G39" s="26"/>
      <c r="H39" s="157"/>
      <c r="I39" s="26"/>
      <c r="J39" s="157"/>
      <c r="K39" s="26"/>
      <c r="L39" s="157"/>
      <c r="M39" s="26"/>
      <c r="N39" s="157">
        <f>35325.42+9468-1420.2+138743.28+3589898-1771755.34+50787.1-15236.13</f>
        <v>2035810.1300000001</v>
      </c>
      <c r="O39" s="26"/>
      <c r="P39" s="157"/>
      <c r="Q39" s="26"/>
      <c r="R39" s="157"/>
      <c r="S39" s="25"/>
      <c r="T39" s="25">
        <f t="shared" si="0"/>
        <v>29648416.489999995</v>
      </c>
    </row>
    <row r="40" spans="1:20" s="24" customFormat="1" ht="15.75" customHeight="1">
      <c r="A40" s="24" t="s">
        <v>277</v>
      </c>
      <c r="B40" s="27"/>
      <c r="C40" s="27"/>
      <c r="D40" s="158"/>
      <c r="E40" s="27"/>
      <c r="F40" s="158">
        <f>105435.18+13165261+799155.62+2590000+195716.6</f>
        <v>16855568.399999999</v>
      </c>
      <c r="G40" s="27"/>
      <c r="H40" s="158"/>
      <c r="I40" s="27"/>
      <c r="J40" s="158"/>
      <c r="K40" s="27"/>
      <c r="L40" s="158"/>
      <c r="M40" s="27"/>
      <c r="N40" s="158"/>
      <c r="O40" s="27"/>
      <c r="P40" s="158">
        <v>0</v>
      </c>
      <c r="Q40" s="27"/>
      <c r="R40" s="158"/>
      <c r="S40" s="27"/>
      <c r="T40" s="27">
        <f t="shared" si="0"/>
        <v>16855568.399999999</v>
      </c>
    </row>
    <row r="41" spans="1:20" s="24" customFormat="1" ht="15.75" customHeight="1" thickBot="1">
      <c r="A41" s="24" t="s">
        <v>278</v>
      </c>
      <c r="B41" s="28">
        <f>SUM(B8:B40)</f>
        <v>6198744.4699999988</v>
      </c>
      <c r="C41" s="28"/>
      <c r="D41" s="159">
        <f>SUM(D8:D40)</f>
        <v>27612606.359999996</v>
      </c>
      <c r="E41" s="28"/>
      <c r="F41" s="159">
        <f>SUM(F8:F40)</f>
        <v>16855568.399999999</v>
      </c>
      <c r="G41" s="28"/>
      <c r="H41" s="159">
        <f>SUM(H8:H40)</f>
        <v>1127241.97</v>
      </c>
      <c r="I41" s="28"/>
      <c r="J41" s="159">
        <f>SUM(J8:J40)</f>
        <v>4875966.1900000004</v>
      </c>
      <c r="K41" s="28"/>
      <c r="L41" s="159">
        <f>SUM(L8:L40)</f>
        <v>1113750.8900000001</v>
      </c>
      <c r="M41" s="28"/>
      <c r="N41" s="159">
        <f>SUM(N8:N40)</f>
        <v>2035810.1300000001</v>
      </c>
      <c r="O41" s="28"/>
      <c r="P41" s="159">
        <f>SUM(P8:P40)</f>
        <v>0</v>
      </c>
      <c r="Q41" s="28"/>
      <c r="R41" s="159">
        <f>SUM(R8:R40)</f>
        <v>5812567.21</v>
      </c>
      <c r="S41" s="28"/>
      <c r="T41" s="28">
        <f t="shared" si="0"/>
        <v>65632255.619999997</v>
      </c>
    </row>
    <row r="42" spans="1:20" s="24" customFormat="1" ht="15.75" customHeight="1" thickTop="1">
      <c r="B42" s="25"/>
      <c r="C42" s="25"/>
      <c r="D42" s="96"/>
      <c r="E42" s="25"/>
      <c r="F42" s="96"/>
      <c r="G42" s="25"/>
      <c r="H42" s="96"/>
      <c r="I42" s="25"/>
      <c r="J42" s="96"/>
      <c r="K42" s="25"/>
      <c r="L42" s="96"/>
      <c r="M42" s="25"/>
      <c r="N42" s="96"/>
      <c r="O42" s="25"/>
      <c r="P42" s="96"/>
      <c r="Q42" s="25"/>
      <c r="R42" s="96"/>
      <c r="S42" s="25"/>
      <c r="T42" s="25"/>
    </row>
    <row r="43" spans="1:20" s="24" customFormat="1" ht="15.75" customHeight="1">
      <c r="A43" s="46" t="s">
        <v>279</v>
      </c>
      <c r="B43" s="25"/>
      <c r="C43" s="25"/>
      <c r="D43" s="96"/>
      <c r="E43" s="25"/>
      <c r="F43" s="96"/>
      <c r="G43" s="25"/>
      <c r="H43" s="96"/>
      <c r="I43" s="25"/>
      <c r="J43" s="96"/>
      <c r="K43" s="25"/>
      <c r="L43" s="96"/>
      <c r="M43" s="25"/>
      <c r="N43" s="96"/>
      <c r="O43" s="25"/>
      <c r="P43" s="96"/>
      <c r="Q43" s="25"/>
      <c r="R43" s="96"/>
      <c r="S43" s="25"/>
      <c r="T43" s="25"/>
    </row>
    <row r="44" spans="1:20" s="24" customFormat="1" ht="15.75" customHeight="1">
      <c r="A44" s="24" t="s">
        <v>224</v>
      </c>
      <c r="B44" s="25">
        <v>459194.56</v>
      </c>
      <c r="C44" s="25"/>
      <c r="D44" s="96"/>
      <c r="E44" s="25"/>
      <c r="F44" s="96"/>
      <c r="G44" s="25"/>
      <c r="H44" s="96">
        <v>32737.96</v>
      </c>
      <c r="I44" s="25"/>
      <c r="J44" s="96">
        <v>374768.78</v>
      </c>
      <c r="K44" s="25"/>
      <c r="L44" s="96">
        <v>266574.34999999998</v>
      </c>
      <c r="M44" s="25"/>
      <c r="N44" s="96"/>
      <c r="O44" s="25"/>
      <c r="P44" s="96"/>
      <c r="Q44" s="25"/>
      <c r="R44" s="96">
        <v>9128</v>
      </c>
      <c r="S44" s="25"/>
      <c r="T44" s="25">
        <f t="shared" ref="T44:T54" si="1">SUM(B44:R44)</f>
        <v>1142403.6499999999</v>
      </c>
    </row>
    <row r="45" spans="1:20" s="24" customFormat="1" ht="15.75" customHeight="1">
      <c r="A45" s="24" t="s">
        <v>335</v>
      </c>
      <c r="B45" s="25">
        <v>41475.5</v>
      </c>
      <c r="C45" s="25"/>
      <c r="D45" s="96"/>
      <c r="E45" s="25"/>
      <c r="F45" s="96"/>
      <c r="G45" s="25"/>
      <c r="H45" s="96">
        <v>6200.86</v>
      </c>
      <c r="I45" s="25"/>
      <c r="J45" s="96"/>
      <c r="K45" s="25"/>
      <c r="L45" s="96">
        <v>140279.26999999999</v>
      </c>
      <c r="M45" s="25"/>
      <c r="N45" s="96"/>
      <c r="O45" s="25"/>
      <c r="P45" s="96"/>
      <c r="Q45" s="25"/>
      <c r="R45" s="96"/>
      <c r="S45" s="25"/>
      <c r="T45" s="25">
        <f t="shared" si="1"/>
        <v>187955.63</v>
      </c>
    </row>
    <row r="46" spans="1:20" s="24" customFormat="1" ht="15.75" customHeight="1">
      <c r="A46" s="24" t="s">
        <v>84</v>
      </c>
      <c r="B46" s="25"/>
      <c r="C46" s="25"/>
      <c r="D46" s="96"/>
      <c r="E46" s="25"/>
      <c r="F46" s="96"/>
      <c r="G46" s="25"/>
      <c r="H46" s="96"/>
      <c r="I46" s="25"/>
      <c r="J46" s="96">
        <v>427112</v>
      </c>
      <c r="K46" s="25"/>
      <c r="L46" s="96"/>
      <c r="M46" s="25"/>
      <c r="N46" s="96"/>
      <c r="O46" s="25"/>
      <c r="P46" s="96"/>
      <c r="Q46" s="25"/>
      <c r="R46" s="96"/>
      <c r="S46" s="25"/>
      <c r="T46" s="25">
        <f t="shared" si="1"/>
        <v>427112</v>
      </c>
    </row>
    <row r="47" spans="1:20" s="24" customFormat="1" ht="15.75" customHeight="1">
      <c r="A47" s="24" t="s">
        <v>88</v>
      </c>
      <c r="B47" s="25">
        <v>114</v>
      </c>
      <c r="C47" s="25"/>
      <c r="D47" s="96"/>
      <c r="E47" s="25"/>
      <c r="F47" s="96"/>
      <c r="G47" s="25"/>
      <c r="H47" s="96"/>
      <c r="I47" s="25"/>
      <c r="J47" s="96"/>
      <c r="K47" s="25"/>
      <c r="L47" s="96"/>
      <c r="M47" s="25"/>
      <c r="N47" s="96"/>
      <c r="O47" s="25"/>
      <c r="P47" s="96"/>
      <c r="Q47" s="25"/>
      <c r="R47" s="96">
        <v>15601.9</v>
      </c>
      <c r="S47" s="25"/>
      <c r="T47" s="25">
        <f t="shared" si="1"/>
        <v>15715.9</v>
      </c>
    </row>
    <row r="48" spans="1:20" s="24" customFormat="1" ht="15.75" customHeight="1">
      <c r="A48" s="24" t="s">
        <v>85</v>
      </c>
      <c r="B48" s="25"/>
      <c r="C48" s="25"/>
      <c r="D48" s="96"/>
      <c r="E48" s="25"/>
      <c r="F48" s="96"/>
      <c r="G48" s="25"/>
      <c r="H48" s="96"/>
      <c r="I48" s="25"/>
      <c r="J48" s="96"/>
      <c r="K48" s="25"/>
      <c r="L48" s="96"/>
      <c r="M48" s="25"/>
      <c r="N48" s="96"/>
      <c r="O48" s="25"/>
      <c r="P48" s="96"/>
      <c r="Q48" s="25"/>
      <c r="R48" s="96">
        <v>1552.55</v>
      </c>
      <c r="S48" s="25"/>
      <c r="T48" s="25">
        <f t="shared" si="1"/>
        <v>1552.55</v>
      </c>
    </row>
    <row r="49" spans="1:20" s="24" customFormat="1" ht="15.75" customHeight="1">
      <c r="A49" s="24" t="s">
        <v>304</v>
      </c>
      <c r="B49" s="25"/>
      <c r="C49" s="25"/>
      <c r="D49" s="96"/>
      <c r="E49" s="25"/>
      <c r="F49" s="96">
        <f>105435.18+13165261+195716.6</f>
        <v>13466412.779999999</v>
      </c>
      <c r="G49" s="25"/>
      <c r="H49" s="96"/>
      <c r="I49" s="25"/>
      <c r="J49" s="96"/>
      <c r="K49" s="25"/>
      <c r="L49" s="96"/>
      <c r="M49" s="25"/>
      <c r="N49" s="96"/>
      <c r="O49" s="25"/>
      <c r="P49" s="96"/>
      <c r="Q49" s="25"/>
      <c r="R49" s="96">
        <v>34395.93</v>
      </c>
      <c r="S49" s="25"/>
      <c r="T49" s="25">
        <f t="shared" si="1"/>
        <v>13500808.709999999</v>
      </c>
    </row>
    <row r="50" spans="1:20" s="24" customFormat="1" ht="15.75" customHeight="1">
      <c r="A50" s="24" t="s">
        <v>280</v>
      </c>
      <c r="B50" s="26">
        <f>-1245637.12+670807.78+475678.47+303842.14+2113+195421.22+94461</f>
        <v>496686.48999999987</v>
      </c>
      <c r="C50" s="25"/>
      <c r="D50" s="96"/>
      <c r="E50" s="25"/>
      <c r="F50" s="96"/>
      <c r="G50" s="25"/>
      <c r="H50" s="96">
        <v>41047.72</v>
      </c>
      <c r="I50" s="25"/>
      <c r="J50" s="96">
        <v>-57.88</v>
      </c>
      <c r="K50" s="25"/>
      <c r="L50" s="96">
        <f>169409.37+30609.35+4724.68+17650.75</f>
        <v>222394.15</v>
      </c>
      <c r="M50" s="25"/>
      <c r="N50" s="96"/>
      <c r="O50" s="25"/>
      <c r="P50" s="96"/>
      <c r="Q50" s="25"/>
      <c r="R50" s="96">
        <v>31571.56</v>
      </c>
      <c r="S50" s="25"/>
      <c r="T50" s="25">
        <f t="shared" si="1"/>
        <v>791642.03999999992</v>
      </c>
    </row>
    <row r="51" spans="1:20" s="24" customFormat="1" ht="15.75" customHeight="1">
      <c r="A51" s="24" t="s">
        <v>275</v>
      </c>
      <c r="B51" s="26">
        <v>50000</v>
      </c>
      <c r="C51" s="25"/>
      <c r="D51" s="96"/>
      <c r="E51" s="25"/>
      <c r="F51" s="96"/>
      <c r="G51" s="25"/>
      <c r="H51" s="96"/>
      <c r="I51" s="25"/>
      <c r="J51" s="96"/>
      <c r="K51" s="25"/>
      <c r="L51" s="96"/>
      <c r="M51" s="25"/>
      <c r="N51" s="96"/>
      <c r="O51" s="25"/>
      <c r="P51" s="96"/>
      <c r="Q51" s="25"/>
      <c r="R51" s="96"/>
      <c r="S51" s="25"/>
      <c r="T51" s="25">
        <f t="shared" si="1"/>
        <v>50000</v>
      </c>
    </row>
    <row r="52" spans="1:20" s="24" customFormat="1" ht="15.75" customHeight="1">
      <c r="A52" s="24" t="s">
        <v>584</v>
      </c>
      <c r="B52" s="26"/>
      <c r="C52" s="25"/>
      <c r="D52" s="96"/>
      <c r="E52" s="25"/>
      <c r="F52" s="96">
        <v>799155.62</v>
      </c>
      <c r="G52" s="25"/>
      <c r="H52" s="96"/>
      <c r="I52" s="25"/>
      <c r="J52" s="96"/>
      <c r="K52" s="25"/>
      <c r="L52" s="96"/>
      <c r="M52" s="25"/>
      <c r="N52" s="96"/>
      <c r="O52" s="25"/>
      <c r="P52" s="96"/>
      <c r="Q52" s="25"/>
      <c r="R52" s="96"/>
      <c r="S52" s="25"/>
      <c r="T52" s="25">
        <f t="shared" si="1"/>
        <v>799155.62</v>
      </c>
    </row>
    <row r="53" spans="1:20" s="24" customFormat="1" ht="15.75" customHeight="1">
      <c r="A53" s="24" t="s">
        <v>746</v>
      </c>
      <c r="B53" s="26"/>
      <c r="C53" s="26"/>
      <c r="D53" s="157"/>
      <c r="E53" s="26"/>
      <c r="F53" s="157">
        <f>2380000+210000</f>
        <v>2590000</v>
      </c>
      <c r="G53" s="26"/>
      <c r="H53" s="157"/>
      <c r="I53" s="26"/>
      <c r="J53" s="157">
        <v>5659000</v>
      </c>
      <c r="K53" s="26"/>
      <c r="L53" s="157"/>
      <c r="M53" s="26"/>
      <c r="N53" s="157"/>
      <c r="O53" s="26"/>
      <c r="P53" s="157">
        <v>0</v>
      </c>
      <c r="Q53" s="26"/>
      <c r="R53" s="157"/>
      <c r="S53" s="25"/>
      <c r="T53" s="25">
        <f t="shared" si="1"/>
        <v>8249000</v>
      </c>
    </row>
    <row r="54" spans="1:20" s="24" customFormat="1" ht="15.75" customHeight="1">
      <c r="A54" s="24" t="s">
        <v>282</v>
      </c>
      <c r="B54" s="90">
        <f>SUM(B44:B53)</f>
        <v>1047470.5499999998</v>
      </c>
      <c r="C54" s="90"/>
      <c r="D54" s="160">
        <f>SUM(D44:D53)</f>
        <v>0</v>
      </c>
      <c r="E54" s="90"/>
      <c r="F54" s="160">
        <f>SUM(F44:F53)</f>
        <v>16855568.399999999</v>
      </c>
      <c r="G54" s="90"/>
      <c r="H54" s="160">
        <f>SUM(H44:H53)</f>
        <v>79986.540000000008</v>
      </c>
      <c r="I54" s="90"/>
      <c r="J54" s="160">
        <f>SUM(J44:J53)</f>
        <v>6460822.9000000004</v>
      </c>
      <c r="K54" s="90"/>
      <c r="L54" s="160">
        <f>SUM(L44:L53)</f>
        <v>629247.77</v>
      </c>
      <c r="M54" s="90"/>
      <c r="N54" s="160">
        <f>SUM(N44:N53)</f>
        <v>0</v>
      </c>
      <c r="O54" s="90"/>
      <c r="P54" s="160">
        <f>SUM(P44:P53)</f>
        <v>0</v>
      </c>
      <c r="Q54" s="90"/>
      <c r="R54" s="160">
        <f>SUM(R44:R53)</f>
        <v>92249.94</v>
      </c>
      <c r="S54" s="90"/>
      <c r="T54" s="90">
        <f t="shared" si="1"/>
        <v>25165346.100000001</v>
      </c>
    </row>
    <row r="55" spans="1:20" s="24" customFormat="1" ht="15.75" customHeight="1">
      <c r="B55" s="25"/>
      <c r="C55" s="25"/>
      <c r="D55" s="96"/>
      <c r="E55" s="25"/>
      <c r="F55" s="96"/>
      <c r="G55" s="25"/>
      <c r="H55" s="96"/>
      <c r="I55" s="25"/>
      <c r="J55" s="96"/>
      <c r="K55" s="25"/>
      <c r="L55" s="96"/>
      <c r="M55" s="25"/>
      <c r="N55" s="96"/>
      <c r="O55" s="25"/>
      <c r="P55" s="96"/>
      <c r="Q55" s="25"/>
      <c r="R55" s="96"/>
      <c r="S55" s="25"/>
      <c r="T55" s="25"/>
    </row>
    <row r="56" spans="1:20" s="24" customFormat="1" ht="15.75" customHeight="1">
      <c r="B56" s="25"/>
      <c r="C56" s="25"/>
      <c r="D56" s="96"/>
      <c r="E56" s="25"/>
      <c r="F56" s="96"/>
      <c r="G56" s="25"/>
      <c r="H56" s="96"/>
      <c r="I56" s="25"/>
      <c r="J56" s="96"/>
      <c r="K56" s="25"/>
      <c r="L56" s="96"/>
      <c r="M56" s="25"/>
      <c r="N56" s="96"/>
      <c r="O56" s="25"/>
      <c r="P56" s="96"/>
      <c r="Q56" s="25"/>
      <c r="R56" s="96"/>
      <c r="S56" s="25"/>
      <c r="T56" s="25"/>
    </row>
    <row r="57" spans="1:20" s="24" customFormat="1" ht="15.75" customHeight="1">
      <c r="A57" s="46" t="s">
        <v>283</v>
      </c>
      <c r="B57" s="25"/>
      <c r="C57" s="25"/>
      <c r="D57" s="96"/>
      <c r="E57" s="25"/>
      <c r="F57" s="96"/>
      <c r="G57" s="25"/>
      <c r="H57" s="96"/>
      <c r="I57" s="25"/>
      <c r="J57" s="96"/>
      <c r="K57" s="25"/>
      <c r="L57" s="96"/>
      <c r="M57" s="25"/>
      <c r="N57" s="96"/>
      <c r="O57" s="25"/>
      <c r="P57" s="96"/>
      <c r="Q57" s="25"/>
      <c r="R57" s="96"/>
      <c r="S57" s="25"/>
      <c r="T57" s="25"/>
    </row>
    <row r="58" spans="1:20" s="24" customFormat="1" ht="15.75" customHeight="1">
      <c r="A58" s="24" t="s">
        <v>788</v>
      </c>
      <c r="B58" s="25"/>
      <c r="C58" s="25"/>
      <c r="D58" s="96"/>
      <c r="E58" s="25"/>
      <c r="F58" s="96"/>
      <c r="G58" s="25"/>
      <c r="H58" s="96"/>
      <c r="I58" s="25"/>
      <c r="J58" s="96"/>
      <c r="K58" s="25"/>
      <c r="L58" s="96">
        <v>0</v>
      </c>
      <c r="M58" s="25"/>
      <c r="N58" s="96"/>
      <c r="O58" s="25"/>
      <c r="P58" s="96"/>
      <c r="Q58" s="25"/>
      <c r="R58" s="96"/>
      <c r="S58" s="25"/>
      <c r="T58" s="96">
        <f t="shared" ref="T58:T69" si="2">SUM(B58:R58)</f>
        <v>0</v>
      </c>
    </row>
    <row r="59" spans="1:20" s="24" customFormat="1" ht="15.75" customHeight="1">
      <c r="A59" s="24" t="s">
        <v>211</v>
      </c>
      <c r="B59" s="25"/>
      <c r="C59" s="25"/>
      <c r="D59" s="96"/>
      <c r="E59" s="25"/>
      <c r="F59" s="96"/>
      <c r="G59" s="25"/>
      <c r="H59" s="96"/>
      <c r="I59" s="25"/>
      <c r="J59" s="96"/>
      <c r="K59" s="25"/>
      <c r="L59" s="96">
        <v>50000</v>
      </c>
      <c r="M59" s="25"/>
      <c r="N59" s="96"/>
      <c r="O59" s="25"/>
      <c r="P59" s="96"/>
      <c r="Q59" s="25"/>
      <c r="R59" s="96"/>
      <c r="S59" s="25"/>
      <c r="T59" s="96">
        <f t="shared" si="2"/>
        <v>50000</v>
      </c>
    </row>
    <row r="60" spans="1:20" s="24" customFormat="1" ht="15.75" customHeight="1">
      <c r="A60" s="24" t="s">
        <v>87</v>
      </c>
      <c r="B60" s="25"/>
      <c r="C60" s="25"/>
      <c r="D60" s="96"/>
      <c r="E60" s="25"/>
      <c r="F60" s="96"/>
      <c r="G60" s="25"/>
      <c r="H60" s="96"/>
      <c r="I60" s="25"/>
      <c r="J60" s="96"/>
      <c r="K60" s="25"/>
      <c r="L60" s="96">
        <f>164487.1+1279094.88+25240-1058739.92+44746+4915.06-25240</f>
        <v>434503.12000000005</v>
      </c>
      <c r="M60" s="25"/>
      <c r="N60" s="96"/>
      <c r="O60" s="25"/>
      <c r="P60" s="96"/>
      <c r="Q60" s="25"/>
      <c r="R60" s="96"/>
      <c r="S60" s="25"/>
      <c r="T60" s="96">
        <f t="shared" si="2"/>
        <v>434503.12000000005</v>
      </c>
    </row>
    <row r="61" spans="1:20" s="24" customFormat="1" ht="15.75" customHeight="1">
      <c r="A61" s="24" t="s">
        <v>4</v>
      </c>
      <c r="B61" s="25"/>
      <c r="C61" s="25"/>
      <c r="D61" s="96">
        <v>27612606.359999999</v>
      </c>
      <c r="E61" s="25"/>
      <c r="F61" s="96"/>
      <c r="G61" s="25"/>
      <c r="H61" s="96"/>
      <c r="I61" s="25"/>
      <c r="J61" s="96"/>
      <c r="K61" s="25"/>
      <c r="L61" s="96"/>
      <c r="M61" s="25"/>
      <c r="N61" s="96">
        <v>2035810.13</v>
      </c>
      <c r="O61" s="25"/>
      <c r="P61" s="96"/>
      <c r="Q61" s="25"/>
      <c r="R61" s="96"/>
      <c r="S61" s="25"/>
      <c r="T61" s="96">
        <f t="shared" si="2"/>
        <v>29648416.489999998</v>
      </c>
    </row>
    <row r="62" spans="1:20" s="24" customFormat="1" ht="15.75" customHeight="1">
      <c r="A62" s="24" t="s">
        <v>580</v>
      </c>
      <c r="B62" s="25">
        <v>471757.77</v>
      </c>
      <c r="C62" s="25"/>
      <c r="D62" s="96"/>
      <c r="E62" s="25"/>
      <c r="F62" s="96"/>
      <c r="G62" s="25"/>
      <c r="H62" s="96"/>
      <c r="I62" s="25"/>
      <c r="J62" s="96"/>
      <c r="K62" s="25"/>
      <c r="L62" s="96"/>
      <c r="M62" s="25"/>
      <c r="N62" s="96"/>
      <c r="O62" s="25"/>
      <c r="P62" s="96"/>
      <c r="Q62" s="25"/>
      <c r="R62" s="96"/>
      <c r="S62" s="25"/>
      <c r="T62" s="96">
        <f t="shared" si="2"/>
        <v>471757.77</v>
      </c>
    </row>
    <row r="63" spans="1:20" s="24" customFormat="1" ht="15.75" hidden="1" customHeight="1">
      <c r="A63" s="24" t="s">
        <v>581</v>
      </c>
      <c r="B63" s="25"/>
      <c r="C63" s="25"/>
      <c r="D63" s="96"/>
      <c r="E63" s="25"/>
      <c r="F63" s="96"/>
      <c r="G63" s="25"/>
      <c r="H63" s="96"/>
      <c r="I63" s="25"/>
      <c r="J63" s="96"/>
      <c r="K63" s="25"/>
      <c r="L63" s="96"/>
      <c r="M63" s="25"/>
      <c r="N63" s="96"/>
      <c r="O63" s="25"/>
      <c r="P63" s="96"/>
      <c r="Q63" s="25"/>
      <c r="R63" s="96"/>
      <c r="S63" s="25"/>
      <c r="T63" s="96">
        <f t="shared" si="2"/>
        <v>0</v>
      </c>
    </row>
    <row r="64" spans="1:20" s="24" customFormat="1" ht="15.75" hidden="1" customHeight="1">
      <c r="A64" s="24" t="s">
        <v>582</v>
      </c>
      <c r="B64" s="25"/>
      <c r="C64" s="25"/>
      <c r="D64" s="96"/>
      <c r="E64" s="25"/>
      <c r="F64" s="96"/>
      <c r="G64" s="25"/>
      <c r="H64" s="96"/>
      <c r="I64" s="25"/>
      <c r="J64" s="96"/>
      <c r="K64" s="25"/>
      <c r="L64" s="96"/>
      <c r="M64" s="25"/>
      <c r="N64" s="96"/>
      <c r="O64" s="25"/>
      <c r="P64" s="96"/>
      <c r="Q64" s="25"/>
      <c r="R64" s="96"/>
      <c r="S64" s="25"/>
      <c r="T64" s="96">
        <f t="shared" si="2"/>
        <v>0</v>
      </c>
    </row>
    <row r="65" spans="1:20" s="24" customFormat="1" ht="15.75" customHeight="1">
      <c r="A65" s="24" t="s">
        <v>583</v>
      </c>
      <c r="B65" s="25">
        <v>157179.17000000001</v>
      </c>
      <c r="C65" s="25"/>
      <c r="D65" s="96"/>
      <c r="E65" s="25"/>
      <c r="F65" s="96"/>
      <c r="G65" s="25"/>
      <c r="H65" s="96"/>
      <c r="I65" s="25"/>
      <c r="J65" s="96"/>
      <c r="K65" s="25"/>
      <c r="L65" s="96"/>
      <c r="M65" s="25"/>
      <c r="N65" s="96"/>
      <c r="O65" s="25"/>
      <c r="P65" s="96"/>
      <c r="Q65" s="25"/>
      <c r="R65" s="96"/>
      <c r="S65" s="25"/>
      <c r="T65" s="96">
        <f t="shared" si="2"/>
        <v>157179.17000000001</v>
      </c>
    </row>
    <row r="66" spans="1:20" s="24" customFormat="1" ht="15.75" customHeight="1">
      <c r="A66" s="24" t="s">
        <v>579</v>
      </c>
      <c r="B66" s="25">
        <v>-34874.519999999997</v>
      </c>
      <c r="C66" s="25"/>
      <c r="D66" s="96"/>
      <c r="E66" s="25"/>
      <c r="F66" s="96"/>
      <c r="G66" s="25"/>
      <c r="H66" s="96"/>
      <c r="I66" s="25"/>
      <c r="J66" s="96"/>
      <c r="K66" s="25"/>
      <c r="L66" s="96"/>
      <c r="M66" s="25"/>
      <c r="N66" s="96"/>
      <c r="O66" s="25"/>
      <c r="P66" s="96"/>
      <c r="Q66" s="25"/>
      <c r="R66" s="96"/>
      <c r="S66" s="25"/>
      <c r="T66" s="96">
        <f t="shared" si="2"/>
        <v>-34874.519999999997</v>
      </c>
    </row>
    <row r="67" spans="1:20" ht="15.75" customHeight="1">
      <c r="A67" s="24" t="s">
        <v>3</v>
      </c>
      <c r="B67" s="25"/>
      <c r="C67" s="25"/>
      <c r="D67" s="96"/>
      <c r="E67" s="25"/>
      <c r="F67" s="96"/>
      <c r="G67" s="25"/>
      <c r="H67" s="96">
        <v>1042359.69</v>
      </c>
      <c r="I67" s="25"/>
      <c r="J67" s="96"/>
      <c r="K67" s="25"/>
      <c r="L67" s="96"/>
      <c r="M67" s="25"/>
      <c r="N67" s="96"/>
      <c r="O67" s="25"/>
      <c r="P67" s="96"/>
      <c r="Q67" s="25"/>
      <c r="R67" s="96">
        <v>400329.26</v>
      </c>
      <c r="S67" s="25"/>
      <c r="T67" s="25">
        <f t="shared" si="2"/>
        <v>1442688.95</v>
      </c>
    </row>
    <row r="68" spans="1:20" s="24" customFormat="1" ht="15.75" customHeight="1">
      <c r="A68" s="24" t="s">
        <v>574</v>
      </c>
      <c r="B68" s="27">
        <f>2522263.97+28791226.2+114175.08-25196315.08-23190.38-1650948.29</f>
        <v>4557211.4999999981</v>
      </c>
      <c r="C68" s="27"/>
      <c r="D68" s="158"/>
      <c r="E68" s="27"/>
      <c r="F68" s="158"/>
      <c r="G68" s="27"/>
      <c r="H68" s="158">
        <v>4895.74</v>
      </c>
      <c r="I68" s="27"/>
      <c r="J68" s="158">
        <v>-1584856.71</v>
      </c>
      <c r="K68" s="27"/>
      <c r="L68" s="158"/>
      <c r="M68" s="27"/>
      <c r="N68" s="158"/>
      <c r="O68" s="27"/>
      <c r="P68" s="158"/>
      <c r="Q68" s="27"/>
      <c r="R68" s="158">
        <v>5319988.01</v>
      </c>
      <c r="S68" s="27"/>
      <c r="T68" s="27">
        <f t="shared" si="2"/>
        <v>8297238.5399999982</v>
      </c>
    </row>
    <row r="69" spans="1:20" s="24" customFormat="1" ht="15.75" customHeight="1">
      <c r="A69" s="24" t="s">
        <v>284</v>
      </c>
      <c r="B69" s="25">
        <f>SUM(B58:B68)</f>
        <v>5151273.9199999981</v>
      </c>
      <c r="C69" s="25"/>
      <c r="D69" s="96">
        <f>SUM(D58:D68)</f>
        <v>27612606.359999999</v>
      </c>
      <c r="E69" s="25"/>
      <c r="F69" s="96">
        <f>SUM(F58:F68)</f>
        <v>0</v>
      </c>
      <c r="G69" s="25"/>
      <c r="H69" s="96">
        <f>SUM(H58:H68)</f>
        <v>1047255.4299999999</v>
      </c>
      <c r="I69" s="25"/>
      <c r="J69" s="96">
        <f>SUM(J58:J68)</f>
        <v>-1584856.71</v>
      </c>
      <c r="K69" s="25"/>
      <c r="L69" s="96">
        <f>SUM(L58:L68)</f>
        <v>484503.12000000005</v>
      </c>
      <c r="M69" s="25"/>
      <c r="N69" s="96">
        <f>SUM(N58:N68)</f>
        <v>2035810.13</v>
      </c>
      <c r="O69" s="25"/>
      <c r="P69" s="96">
        <f>SUM(P58:P68)</f>
        <v>0</v>
      </c>
      <c r="Q69" s="25"/>
      <c r="R69" s="96">
        <f>SUM(R58:R68)</f>
        <v>5720317.2699999996</v>
      </c>
      <c r="S69" s="25"/>
      <c r="T69" s="25">
        <f t="shared" si="2"/>
        <v>40466909.519999996</v>
      </c>
    </row>
    <row r="70" spans="1:20" s="24" customFormat="1" ht="15.75" customHeight="1">
      <c r="B70" s="25"/>
      <c r="C70" s="25"/>
      <c r="D70" s="96"/>
      <c r="E70" s="25"/>
      <c r="F70" s="96"/>
      <c r="G70" s="25"/>
      <c r="H70" s="96"/>
      <c r="I70" s="25"/>
      <c r="J70" s="96"/>
      <c r="K70" s="25"/>
      <c r="L70" s="96"/>
      <c r="M70" s="25"/>
      <c r="N70" s="96"/>
      <c r="O70" s="25"/>
      <c r="P70" s="96"/>
      <c r="Q70" s="25"/>
      <c r="R70" s="96"/>
      <c r="S70" s="25"/>
      <c r="T70" s="25"/>
    </row>
    <row r="71" spans="1:20" s="24" customFormat="1" ht="15.75" customHeight="1" thickBot="1">
      <c r="A71" s="24" t="s">
        <v>285</v>
      </c>
      <c r="B71" s="28">
        <f>B54+B69</f>
        <v>6198744.4699999979</v>
      </c>
      <c r="C71" s="28"/>
      <c r="D71" s="159">
        <f>D54+D69</f>
        <v>27612606.359999999</v>
      </c>
      <c r="E71" s="28"/>
      <c r="F71" s="159">
        <f>F54+F69</f>
        <v>16855568.399999999</v>
      </c>
      <c r="G71" s="28"/>
      <c r="H71" s="159">
        <f>H54+H69</f>
        <v>1127241.97</v>
      </c>
      <c r="I71" s="28"/>
      <c r="J71" s="159">
        <f>J54+J69</f>
        <v>4875966.1900000004</v>
      </c>
      <c r="K71" s="28"/>
      <c r="L71" s="159">
        <f>L54+L69</f>
        <v>1113750.8900000001</v>
      </c>
      <c r="M71" s="28"/>
      <c r="N71" s="159">
        <f>N54+N69</f>
        <v>2035810.13</v>
      </c>
      <c r="O71" s="28"/>
      <c r="P71" s="159">
        <f>P54+P69</f>
        <v>0</v>
      </c>
      <c r="Q71" s="28"/>
      <c r="R71" s="159">
        <f>R54+R69</f>
        <v>5812567.21</v>
      </c>
      <c r="S71" s="28"/>
      <c r="T71" s="28">
        <f>SUM(B71:R71)</f>
        <v>65632255.619999997</v>
      </c>
    </row>
    <row r="72" spans="1:20" ht="15.75" customHeight="1" thickTop="1">
      <c r="B72" s="77"/>
    </row>
    <row r="82" spans="1:1" ht="12" customHeight="1">
      <c r="A82" s="215" t="s">
        <v>571</v>
      </c>
    </row>
    <row r="83" spans="1:1" ht="15.75" customHeight="1">
      <c r="A83" s="215" t="s">
        <v>572</v>
      </c>
    </row>
    <row r="84" spans="1:1" ht="15.75" customHeight="1">
      <c r="A84" s="215" t="s">
        <v>573</v>
      </c>
    </row>
  </sheetData>
  <mergeCells count="6">
    <mergeCell ref="A1:K1"/>
    <mergeCell ref="A2:K2"/>
    <mergeCell ref="A3:K3"/>
    <mergeCell ref="L1:T1"/>
    <mergeCell ref="L2:T2"/>
    <mergeCell ref="L3:T3"/>
  </mergeCells>
  <phoneticPr fontId="1" type="noConversion"/>
  <pageMargins left="0.25" right="0.25" top="0.75" bottom="0.75" header="0.3" footer="0.3"/>
  <pageSetup scale="41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36">
    <tabColor rgb="FFFFFF00"/>
    <pageSetUpPr fitToPage="1"/>
  </sheetPr>
  <dimension ref="A1:I66"/>
  <sheetViews>
    <sheetView zoomScaleNormal="100" workbookViewId="0">
      <selection activeCell="B26" sqref="B26"/>
    </sheetView>
  </sheetViews>
  <sheetFormatPr defaultRowHeight="15" customHeight="1"/>
  <cols>
    <col min="1" max="1" width="15.21875" customWidth="1"/>
    <col min="2" max="2" width="24.5546875" customWidth="1"/>
    <col min="3" max="5" width="15.77734375" customWidth="1"/>
    <col min="6" max="6" width="17.44140625" customWidth="1"/>
    <col min="7" max="8" width="15.77734375" customWidth="1"/>
  </cols>
  <sheetData>
    <row r="1" spans="1:9" ht="15" customHeight="1">
      <c r="A1" s="260" t="s">
        <v>45</v>
      </c>
      <c r="B1" s="259"/>
      <c r="C1" s="259"/>
      <c r="D1" s="259"/>
      <c r="E1" s="259"/>
      <c r="F1" s="259"/>
      <c r="G1" s="259"/>
      <c r="H1" s="259"/>
    </row>
    <row r="2" spans="1:9" ht="15" customHeight="1">
      <c r="A2" s="1"/>
      <c r="B2" s="4" t="s">
        <v>133</v>
      </c>
      <c r="C2" s="1"/>
      <c r="D2" s="1"/>
      <c r="E2" s="1"/>
      <c r="F2" s="1"/>
      <c r="G2" s="1"/>
    </row>
    <row r="3" spans="1:9" ht="15" customHeight="1">
      <c r="A3" s="260" t="s">
        <v>215</v>
      </c>
      <c r="B3" s="259"/>
      <c r="C3" s="259"/>
      <c r="D3" s="259"/>
      <c r="E3" s="259"/>
      <c r="F3" s="259"/>
      <c r="G3" s="259"/>
      <c r="H3" s="259"/>
    </row>
    <row r="4" spans="1:9" ht="15" customHeight="1">
      <c r="I4" s="68"/>
    </row>
    <row r="5" spans="1:9" ht="15" customHeight="1">
      <c r="A5" s="264">
        <v>44012</v>
      </c>
      <c r="B5" s="259"/>
      <c r="C5" s="259"/>
      <c r="D5" s="259"/>
      <c r="E5" s="259"/>
      <c r="F5" s="259"/>
      <c r="G5" s="259"/>
      <c r="H5" s="259"/>
    </row>
    <row r="8" spans="1:9" ht="15" customHeight="1">
      <c r="A8" s="4" t="s">
        <v>216</v>
      </c>
      <c r="B8" s="4" t="s">
        <v>217</v>
      </c>
      <c r="C8" s="4" t="s">
        <v>328</v>
      </c>
      <c r="D8" s="4" t="s">
        <v>218</v>
      </c>
      <c r="E8" s="181" t="s">
        <v>219</v>
      </c>
      <c r="F8" s="181" t="s">
        <v>391</v>
      </c>
      <c r="G8" s="4" t="s">
        <v>218</v>
      </c>
      <c r="H8" s="4" t="s">
        <v>309</v>
      </c>
    </row>
    <row r="9" spans="1:9" ht="15" customHeight="1">
      <c r="A9" s="1"/>
      <c r="B9" s="1"/>
      <c r="C9" s="20"/>
      <c r="D9" s="5">
        <v>43646</v>
      </c>
      <c r="E9" s="185" t="s">
        <v>878</v>
      </c>
      <c r="F9" s="185" t="s">
        <v>878</v>
      </c>
      <c r="G9" s="5">
        <v>44012</v>
      </c>
      <c r="H9" s="186" t="s">
        <v>879</v>
      </c>
    </row>
    <row r="10" spans="1:9" ht="15" customHeight="1">
      <c r="A10" s="2" t="s">
        <v>310</v>
      </c>
      <c r="B10" s="1"/>
      <c r="C10" s="20"/>
      <c r="D10" s="5"/>
      <c r="E10" s="181"/>
      <c r="F10" s="4"/>
      <c r="G10" s="5"/>
    </row>
    <row r="11" spans="1:9" ht="15" customHeight="1">
      <c r="A11" s="1"/>
      <c r="B11" s="2" t="s">
        <v>220</v>
      </c>
      <c r="C11" s="20"/>
      <c r="D11" s="1"/>
      <c r="E11" s="1"/>
      <c r="F11" s="1"/>
      <c r="G11" s="1"/>
    </row>
    <row r="12" spans="1:9" ht="15" customHeight="1">
      <c r="A12" s="143">
        <v>41409</v>
      </c>
      <c r="B12" s="1" t="s">
        <v>376</v>
      </c>
      <c r="C12" s="145">
        <v>1.249103E-2</v>
      </c>
      <c r="D12" s="23">
        <v>2945000</v>
      </c>
      <c r="E12" s="89">
        <v>0</v>
      </c>
      <c r="F12" s="89">
        <v>565000</v>
      </c>
      <c r="G12" s="89">
        <f>D12+E12-F12</f>
        <v>2380000</v>
      </c>
      <c r="H12" s="183">
        <v>53250</v>
      </c>
    </row>
    <row r="13" spans="1:9" ht="15" customHeight="1">
      <c r="A13" s="143"/>
      <c r="B13" s="1" t="s">
        <v>345</v>
      </c>
      <c r="C13" s="145"/>
      <c r="D13" s="78"/>
      <c r="E13" s="83"/>
      <c r="F13" s="83"/>
      <c r="G13" s="83"/>
      <c r="H13" s="177"/>
    </row>
    <row r="14" spans="1:9" ht="15" customHeight="1">
      <c r="A14" s="143"/>
      <c r="B14" s="1"/>
      <c r="C14" s="145"/>
      <c r="D14" s="13">
        <f>SUM(D12:D13)</f>
        <v>2945000</v>
      </c>
      <c r="E14" s="13">
        <f>SUM(E12:E13)</f>
        <v>0</v>
      </c>
      <c r="F14" s="13">
        <f>SUM(F12:F13)</f>
        <v>565000</v>
      </c>
      <c r="G14" s="13">
        <f>SUM(G12:G13)</f>
        <v>2380000</v>
      </c>
      <c r="H14" s="13">
        <f>SUM(H12:H13)</f>
        <v>53250</v>
      </c>
    </row>
    <row r="15" spans="1:9" ht="15" customHeight="1">
      <c r="A15" s="143"/>
      <c r="B15" s="1"/>
      <c r="C15" s="145"/>
      <c r="D15" s="13"/>
      <c r="E15" s="72"/>
      <c r="F15" s="72"/>
      <c r="G15" s="13"/>
      <c r="H15" s="163"/>
    </row>
    <row r="16" spans="1:9" ht="15" customHeight="1">
      <c r="A16" s="143">
        <v>41409</v>
      </c>
      <c r="B16" s="1" t="s">
        <v>575</v>
      </c>
      <c r="C16" s="145">
        <v>1.0568610000000001E-2</v>
      </c>
      <c r="D16" s="13">
        <v>280000</v>
      </c>
      <c r="E16" s="72">
        <v>0</v>
      </c>
      <c r="F16" s="72">
        <v>70000</v>
      </c>
      <c r="G16" s="72">
        <f>D16+E16-F16</f>
        <v>210000</v>
      </c>
      <c r="H16" s="163">
        <v>4900</v>
      </c>
    </row>
    <row r="17" spans="1:8" ht="15" customHeight="1">
      <c r="A17" s="1"/>
      <c r="C17" s="20"/>
      <c r="D17" s="13"/>
      <c r="E17" s="72"/>
      <c r="F17" s="72"/>
      <c r="G17" s="72"/>
      <c r="H17" s="74"/>
    </row>
    <row r="18" spans="1:8" ht="15" customHeight="1">
      <c r="A18" s="19"/>
      <c r="B18" s="1"/>
      <c r="C18" s="21"/>
      <c r="D18" s="79">
        <f>SUM(D14:D17)</f>
        <v>3225000</v>
      </c>
      <c r="E18" s="79">
        <f t="shared" ref="E18" si="0">SUM(E14:E17)</f>
        <v>0</v>
      </c>
      <c r="F18" s="79">
        <f>SUM(F14:F17)</f>
        <v>635000</v>
      </c>
      <c r="G18" s="79">
        <f>SUM(G14:G17)</f>
        <v>2590000</v>
      </c>
      <c r="H18" s="79">
        <f t="shared" ref="H18" si="1">SUM(H14:H17)</f>
        <v>58150</v>
      </c>
    </row>
    <row r="19" spans="1:8" ht="15" customHeight="1">
      <c r="A19" s="1"/>
      <c r="B19" s="2"/>
      <c r="C19" s="20"/>
      <c r="D19" s="13"/>
      <c r="E19" s="13"/>
      <c r="F19" s="13"/>
      <c r="G19" s="13"/>
      <c r="H19" s="74"/>
    </row>
    <row r="20" spans="1:8" ht="15" hidden="1" customHeight="1">
      <c r="A20" s="1"/>
      <c r="B20" s="2" t="s">
        <v>221</v>
      </c>
      <c r="C20" s="20"/>
      <c r="D20" s="13"/>
      <c r="E20" s="13"/>
      <c r="F20" s="13"/>
      <c r="G20" s="13"/>
      <c r="H20" s="72"/>
    </row>
    <row r="21" spans="1:8" ht="15" hidden="1" customHeight="1">
      <c r="A21" s="143">
        <v>39906</v>
      </c>
      <c r="B21" s="1" t="s">
        <v>344</v>
      </c>
      <c r="C21" s="144">
        <v>6.5000000000000002E-2</v>
      </c>
      <c r="D21" s="13">
        <v>0</v>
      </c>
      <c r="E21" s="72">
        <v>0</v>
      </c>
      <c r="F21" s="72">
        <v>0</v>
      </c>
      <c r="G21" s="72">
        <f>D21+E21-F21</f>
        <v>0</v>
      </c>
      <c r="H21" s="163">
        <v>0</v>
      </c>
    </row>
    <row r="22" spans="1:8" ht="15" hidden="1" customHeight="1">
      <c r="A22" s="1"/>
      <c r="B22" s="2"/>
      <c r="C22" s="20"/>
      <c r="D22" s="13"/>
      <c r="E22" s="13"/>
      <c r="F22" s="13"/>
      <c r="G22" s="13"/>
      <c r="H22" s="72"/>
    </row>
    <row r="23" spans="1:8" ht="15" hidden="1" customHeight="1">
      <c r="A23" s="1"/>
      <c r="B23" s="2"/>
      <c r="C23" s="20"/>
      <c r="D23" s="79">
        <f>SUM(D21:D21)</f>
        <v>0</v>
      </c>
      <c r="E23" s="79">
        <f>SUM(E21:E21)</f>
        <v>0</v>
      </c>
      <c r="F23" s="79">
        <f>SUM(F21:F21)</f>
        <v>0</v>
      </c>
      <c r="G23" s="79">
        <f>SUM(G21:G21)</f>
        <v>0</v>
      </c>
      <c r="H23" s="79">
        <f>SUM(H21:H21)</f>
        <v>0</v>
      </c>
    </row>
    <row r="24" spans="1:8" ht="15" hidden="1" customHeight="1">
      <c r="A24" s="1"/>
      <c r="B24" s="2"/>
      <c r="C24" s="20"/>
      <c r="D24" s="13"/>
      <c r="E24" s="13"/>
      <c r="F24" s="13"/>
      <c r="G24" s="13"/>
      <c r="H24" s="72"/>
    </row>
    <row r="25" spans="1:8" ht="15" customHeight="1" thickBot="1">
      <c r="A25" s="1" t="s">
        <v>311</v>
      </c>
      <c r="B25" s="1"/>
      <c r="C25" s="1"/>
      <c r="D25" s="81">
        <f>+D18+D23</f>
        <v>3225000</v>
      </c>
      <c r="E25" s="81">
        <f>+E18+E23</f>
        <v>0</v>
      </c>
      <c r="F25" s="81">
        <f>+F18+F23</f>
        <v>635000</v>
      </c>
      <c r="G25" s="81">
        <f>+G18+G23</f>
        <v>2590000</v>
      </c>
      <c r="H25" s="81">
        <f>+H18+H23</f>
        <v>58150</v>
      </c>
    </row>
    <row r="26" spans="1:8" ht="15" customHeight="1" thickTop="1">
      <c r="D26" s="14"/>
      <c r="E26" s="14"/>
      <c r="F26" s="14"/>
      <c r="G26" s="14"/>
      <c r="H26" s="14"/>
    </row>
    <row r="27" spans="1:8" ht="15" customHeight="1">
      <c r="D27" s="14"/>
      <c r="E27" s="14"/>
      <c r="F27" s="14"/>
      <c r="G27" s="14"/>
      <c r="H27" s="14"/>
    </row>
    <row r="28" spans="1:8" ht="15" customHeight="1">
      <c r="D28" s="14"/>
      <c r="E28" s="14"/>
      <c r="F28" s="14"/>
      <c r="G28" s="14"/>
      <c r="H28" s="14"/>
    </row>
    <row r="29" spans="1:8" ht="15" customHeight="1">
      <c r="A29" s="7" t="s">
        <v>312</v>
      </c>
      <c r="D29" s="14"/>
      <c r="E29" s="14"/>
      <c r="F29" s="14"/>
      <c r="G29" s="14"/>
      <c r="H29" s="14"/>
    </row>
    <row r="30" spans="1:8" ht="15" customHeight="1">
      <c r="A30" s="47">
        <v>43481</v>
      </c>
      <c r="B30" t="s">
        <v>798</v>
      </c>
      <c r="C30" s="233">
        <v>3.2500000000000001E-2</v>
      </c>
      <c r="D30" s="16">
        <v>6428000</v>
      </c>
      <c r="E30" s="16">
        <v>5659000</v>
      </c>
      <c r="F30" s="16">
        <v>6428000</v>
      </c>
      <c r="G30" s="72">
        <f>D30+E30-F30</f>
        <v>5659000</v>
      </c>
      <c r="H30" s="70">
        <v>208910</v>
      </c>
    </row>
    <row r="31" spans="1:8" ht="15" customHeight="1">
      <c r="A31" s="47"/>
      <c r="C31" s="233"/>
      <c r="D31" s="16">
        <v>0</v>
      </c>
      <c r="E31" s="16">
        <v>0</v>
      </c>
      <c r="F31" s="16">
        <v>0</v>
      </c>
      <c r="G31" s="72">
        <f>D31+E31-F31</f>
        <v>0</v>
      </c>
      <c r="H31" s="70">
        <v>0</v>
      </c>
    </row>
    <row r="32" spans="1:8" ht="15" customHeight="1">
      <c r="D32" s="22"/>
      <c r="E32" s="22"/>
      <c r="F32" s="22"/>
      <c r="G32" s="17"/>
      <c r="H32" s="22"/>
    </row>
    <row r="33" spans="1:9" ht="15" customHeight="1" thickBot="1">
      <c r="A33" t="s">
        <v>316</v>
      </c>
      <c r="D33" s="82">
        <f>SUM(D30:D32)</f>
        <v>6428000</v>
      </c>
      <c r="E33" s="82">
        <f>SUM(E30:E32)</f>
        <v>5659000</v>
      </c>
      <c r="F33" s="82">
        <f>SUM(F30:F32)</f>
        <v>6428000</v>
      </c>
      <c r="G33" s="82">
        <f>SUM(G30:G32)</f>
        <v>5659000</v>
      </c>
      <c r="H33" s="82">
        <f>SUM(H30:H32)</f>
        <v>208910</v>
      </c>
    </row>
    <row r="34" spans="1:9" ht="15" customHeight="1" thickTop="1">
      <c r="D34" s="14"/>
      <c r="E34" s="14"/>
      <c r="F34" s="14"/>
      <c r="G34" s="14"/>
      <c r="H34" s="14"/>
    </row>
    <row r="35" spans="1:9" ht="15" customHeight="1">
      <c r="D35" s="14"/>
      <c r="E35" s="14"/>
      <c r="F35" s="14"/>
      <c r="G35" s="14"/>
      <c r="H35" s="14"/>
    </row>
    <row r="36" spans="1:9" ht="15" customHeight="1" thickBot="1">
      <c r="A36" t="s">
        <v>392</v>
      </c>
      <c r="D36" s="82">
        <f>+D25+D33</f>
        <v>9653000</v>
      </c>
      <c r="E36" s="82">
        <f t="shared" ref="E36:H36" si="2">+E25+E33</f>
        <v>5659000</v>
      </c>
      <c r="F36" s="82">
        <f t="shared" si="2"/>
        <v>7063000</v>
      </c>
      <c r="G36" s="82">
        <f t="shared" si="2"/>
        <v>8249000</v>
      </c>
      <c r="H36" s="82">
        <f t="shared" si="2"/>
        <v>267060</v>
      </c>
    </row>
    <row r="37" spans="1:9" ht="15" customHeight="1" thickTop="1"/>
    <row r="39" spans="1:9" ht="15" customHeight="1">
      <c r="D39" s="32" t="s">
        <v>314</v>
      </c>
      <c r="E39" s="182"/>
      <c r="F39" s="182" t="s">
        <v>730</v>
      </c>
      <c r="G39" s="32" t="s">
        <v>731</v>
      </c>
      <c r="H39" s="32" t="s">
        <v>315</v>
      </c>
      <c r="I39" s="182"/>
    </row>
    <row r="40" spans="1:9" ht="15" customHeight="1">
      <c r="A40" s="7" t="s">
        <v>313</v>
      </c>
      <c r="D40" s="32"/>
      <c r="E40" s="182"/>
      <c r="F40" s="48" t="s">
        <v>879</v>
      </c>
      <c r="G40" s="48" t="s">
        <v>879</v>
      </c>
      <c r="H40" s="48">
        <v>44012</v>
      </c>
      <c r="I40" s="48"/>
    </row>
    <row r="41" spans="1:9" ht="15" customHeight="1">
      <c r="A41" s="48">
        <v>43418</v>
      </c>
      <c r="B41" s="87" t="s">
        <v>798</v>
      </c>
      <c r="C41" s="233">
        <v>3.2500000000000001E-2</v>
      </c>
      <c r="D41" s="14">
        <v>72000</v>
      </c>
      <c r="E41" s="142"/>
      <c r="F41" s="142">
        <v>0</v>
      </c>
      <c r="G41" s="142">
        <v>-72000</v>
      </c>
      <c r="H41" s="70">
        <f>SUM(D41:G41)</f>
        <v>0</v>
      </c>
      <c r="I41" s="48"/>
    </row>
    <row r="42" spans="1:9" ht="15" customHeight="1">
      <c r="A42" s="48"/>
      <c r="B42" s="47"/>
      <c r="D42" s="14">
        <v>0</v>
      </c>
      <c r="E42" s="142"/>
      <c r="F42" s="142">
        <v>0</v>
      </c>
      <c r="G42" s="164">
        <v>0</v>
      </c>
      <c r="H42" s="70">
        <f t="shared" ref="H42:H43" si="3">SUM(D42:G42)</f>
        <v>0</v>
      </c>
      <c r="I42" s="142"/>
    </row>
    <row r="43" spans="1:9" ht="15" customHeight="1">
      <c r="A43" s="47"/>
      <c r="D43" s="22"/>
      <c r="E43" s="22"/>
      <c r="F43" s="14">
        <v>0</v>
      </c>
      <c r="G43" s="22"/>
      <c r="H43" s="70">
        <f t="shared" si="3"/>
        <v>0</v>
      </c>
      <c r="I43" s="184"/>
    </row>
    <row r="44" spans="1:9" ht="15" customHeight="1" thickBot="1">
      <c r="A44" t="s">
        <v>317</v>
      </c>
      <c r="D44" s="82">
        <f>SUM(D41:D43)</f>
        <v>72000</v>
      </c>
      <c r="E44" s="82"/>
      <c r="F44" s="82">
        <f t="shared" ref="F44:H44" si="4">SUM(F41:F43)</f>
        <v>0</v>
      </c>
      <c r="G44" s="82">
        <f t="shared" si="4"/>
        <v>-72000</v>
      </c>
      <c r="H44" s="82">
        <f t="shared" si="4"/>
        <v>0</v>
      </c>
      <c r="I44" s="93"/>
    </row>
    <row r="45" spans="1:9" ht="15" customHeight="1" thickTop="1">
      <c r="D45" s="14"/>
      <c r="E45" s="14"/>
      <c r="F45" s="14"/>
      <c r="G45" s="14"/>
      <c r="H45" s="14"/>
      <c r="I45" s="184"/>
    </row>
    <row r="66" ht="13.5" customHeight="1"/>
  </sheetData>
  <mergeCells count="3">
    <mergeCell ref="A1:H1"/>
    <mergeCell ref="A3:H3"/>
    <mergeCell ref="A5:H5"/>
  </mergeCells>
  <phoneticPr fontId="0" type="noConversion"/>
  <pageMargins left="0.75" right="0.75" top="1" bottom="1" header="0.5" footer="0.5"/>
  <pageSetup scale="74" orientation="landscape" r:id="rId1"/>
  <headerFooter alignWithMargins="0"/>
  <rowBreaks count="1" manualBreakCount="1">
    <brk id="42" max="16383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P81"/>
  <sheetViews>
    <sheetView zoomScaleNormal="100" workbookViewId="0">
      <pane xSplit="1" ySplit="7" topLeftCell="C8" activePane="bottomRight" state="frozen"/>
      <selection pane="topRight" activeCell="B1" sqref="B1"/>
      <selection pane="bottomLeft" activeCell="A9" sqref="A9"/>
      <selection pane="bottomRight" activeCell="N8" sqref="N8"/>
    </sheetView>
  </sheetViews>
  <sheetFormatPr defaultColWidth="7.109375" defaultRowHeight="15.75" customHeight="1"/>
  <cols>
    <col min="1" max="1" width="42.77734375" style="43" customWidth="1"/>
    <col min="2" max="2" width="17.77734375" style="161" customWidth="1"/>
    <col min="3" max="3" width="2.88671875" style="43" customWidth="1"/>
    <col min="4" max="4" width="17.77734375" style="161" customWidth="1"/>
    <col min="5" max="5" width="2.88671875" style="43" customWidth="1"/>
    <col min="6" max="6" width="17.77734375" style="161" customWidth="1"/>
    <col min="7" max="7" width="2.88671875" style="43" customWidth="1"/>
    <col min="8" max="8" width="17.77734375" style="161" customWidth="1"/>
    <col min="9" max="9" width="2.88671875" style="43" customWidth="1"/>
    <col min="10" max="10" width="17.77734375" style="161" customWidth="1"/>
    <col min="11" max="11" width="2.88671875" style="43" customWidth="1"/>
    <col min="12" max="12" width="17.77734375" style="161" customWidth="1"/>
    <col min="13" max="13" width="2.88671875" style="43" customWidth="1"/>
    <col min="14" max="14" width="17.77734375" style="43" customWidth="1"/>
    <col min="15" max="16384" width="7.109375" style="43"/>
  </cols>
  <sheetData>
    <row r="1" spans="1:16" ht="15.75" customHeight="1">
      <c r="A1" s="257" t="s">
        <v>46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7"/>
      <c r="M1" s="258"/>
      <c r="N1" s="258"/>
      <c r="O1" s="220"/>
      <c r="P1" s="220"/>
    </row>
    <row r="2" spans="1:16" ht="15.75" customHeight="1">
      <c r="A2" s="257" t="s">
        <v>645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7"/>
      <c r="M2" s="259"/>
      <c r="N2" s="259"/>
      <c r="O2" s="220"/>
      <c r="P2" s="220"/>
    </row>
    <row r="3" spans="1:16" ht="15.75" customHeight="1">
      <c r="A3" s="257" t="s">
        <v>845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7"/>
      <c r="M3" s="259"/>
      <c r="N3" s="259"/>
      <c r="O3" s="220"/>
      <c r="P3" s="220"/>
    </row>
    <row r="4" spans="1:16" ht="15.75" customHeight="1">
      <c r="A4" s="219"/>
      <c r="B4" s="154"/>
      <c r="C4" s="221"/>
      <c r="D4" s="154"/>
      <c r="E4" s="221"/>
      <c r="F4" s="154"/>
      <c r="G4" s="221"/>
      <c r="H4" s="154"/>
      <c r="I4" s="221"/>
      <c r="J4" s="154"/>
      <c r="K4" s="221"/>
      <c r="L4" s="154"/>
      <c r="M4" s="220"/>
      <c r="N4" s="220"/>
      <c r="O4" s="220"/>
      <c r="P4" s="220"/>
    </row>
    <row r="5" spans="1:16" s="24" customFormat="1" ht="15.75" customHeight="1">
      <c r="B5" s="238"/>
      <c r="D5" s="155"/>
      <c r="F5" s="155" t="s">
        <v>648</v>
      </c>
      <c r="H5" s="155"/>
      <c r="J5" s="155" t="s">
        <v>651</v>
      </c>
      <c r="L5" s="155" t="s">
        <v>653</v>
      </c>
    </row>
    <row r="6" spans="1:16" s="24" customFormat="1" ht="15.75" customHeight="1">
      <c r="B6" s="156" t="s">
        <v>646</v>
      </c>
      <c r="D6" s="156" t="s">
        <v>647</v>
      </c>
      <c r="F6" s="156" t="s">
        <v>649</v>
      </c>
      <c r="H6" s="156" t="s">
        <v>650</v>
      </c>
      <c r="J6" s="156" t="s">
        <v>265</v>
      </c>
      <c r="L6" s="156" t="s">
        <v>652</v>
      </c>
      <c r="N6" s="45" t="s">
        <v>268</v>
      </c>
    </row>
    <row r="7" spans="1:16" s="24" customFormat="1" ht="15.75" customHeight="1">
      <c r="A7" s="46" t="s">
        <v>269</v>
      </c>
      <c r="B7" s="96"/>
      <c r="C7" s="25"/>
      <c r="D7" s="96"/>
      <c r="E7" s="25"/>
      <c r="F7" s="96"/>
      <c r="G7" s="25"/>
      <c r="H7" s="96"/>
      <c r="I7" s="25"/>
      <c r="J7" s="96"/>
      <c r="K7" s="25"/>
      <c r="L7" s="96"/>
      <c r="M7" s="25"/>
      <c r="N7" s="25"/>
    </row>
    <row r="8" spans="1:16" s="24" customFormat="1" ht="15.75" customHeight="1">
      <c r="A8" s="24" t="s">
        <v>223</v>
      </c>
      <c r="B8" s="96">
        <v>150367.29</v>
      </c>
      <c r="C8" s="25"/>
      <c r="D8" s="96">
        <v>223961.96</v>
      </c>
      <c r="E8" s="25"/>
      <c r="F8" s="96">
        <v>349423.76</v>
      </c>
      <c r="G8" s="25"/>
      <c r="H8" s="96">
        <v>143398.95000000001</v>
      </c>
      <c r="I8" s="25"/>
      <c r="J8" s="96">
        <v>61074.51</v>
      </c>
      <c r="K8" s="25"/>
      <c r="L8" s="96">
        <v>105537.58</v>
      </c>
      <c r="M8" s="25"/>
      <c r="N8" s="96">
        <f t="shared" ref="N8:N40" si="0">SUM(B8:L8)</f>
        <v>1033764.0499999999</v>
      </c>
    </row>
    <row r="9" spans="1:16" s="24" customFormat="1" ht="15.75" customHeight="1">
      <c r="A9" s="24" t="s">
        <v>89</v>
      </c>
      <c r="B9" s="96"/>
      <c r="C9" s="25"/>
      <c r="D9" s="96"/>
      <c r="E9" s="25"/>
      <c r="F9" s="96"/>
      <c r="G9" s="25"/>
      <c r="H9" s="96"/>
      <c r="I9" s="25"/>
      <c r="J9" s="96"/>
      <c r="K9" s="25"/>
      <c r="L9" s="96"/>
      <c r="M9" s="25"/>
      <c r="N9" s="25">
        <f t="shared" si="0"/>
        <v>0</v>
      </c>
    </row>
    <row r="10" spans="1:16" s="24" customFormat="1" ht="15.75" customHeight="1">
      <c r="A10" s="24" t="s">
        <v>142</v>
      </c>
      <c r="B10" s="96"/>
      <c r="C10" s="25"/>
      <c r="D10" s="96"/>
      <c r="E10" s="25"/>
      <c r="F10" s="96"/>
      <c r="G10" s="25"/>
      <c r="H10" s="96"/>
      <c r="I10" s="25"/>
      <c r="J10" s="96"/>
      <c r="K10" s="25"/>
      <c r="L10" s="96"/>
      <c r="M10" s="25"/>
      <c r="N10" s="25">
        <f t="shared" si="0"/>
        <v>0</v>
      </c>
    </row>
    <row r="11" spans="1:16" s="24" customFormat="1" ht="15.75" customHeight="1">
      <c r="A11" s="24" t="s">
        <v>383</v>
      </c>
      <c r="B11" s="96"/>
      <c r="C11" s="25"/>
      <c r="D11" s="96"/>
      <c r="E11" s="25"/>
      <c r="F11" s="96"/>
      <c r="G11" s="25"/>
      <c r="H11" s="96"/>
      <c r="I11" s="25"/>
      <c r="J11" s="96"/>
      <c r="K11" s="25"/>
      <c r="L11" s="96"/>
      <c r="M11" s="25"/>
      <c r="N11" s="25">
        <f t="shared" si="0"/>
        <v>0</v>
      </c>
    </row>
    <row r="12" spans="1:16" s="24" customFormat="1" ht="15.75" customHeight="1">
      <c r="A12" s="24" t="s">
        <v>270</v>
      </c>
      <c r="B12" s="96"/>
      <c r="C12" s="25"/>
      <c r="D12" s="96"/>
      <c r="E12" s="25"/>
      <c r="F12" s="96"/>
      <c r="G12" s="25"/>
      <c r="H12" s="96"/>
      <c r="I12" s="25"/>
      <c r="J12" s="96"/>
      <c r="K12" s="25"/>
      <c r="L12" s="96"/>
      <c r="M12" s="25"/>
      <c r="N12" s="25">
        <f t="shared" si="0"/>
        <v>0</v>
      </c>
    </row>
    <row r="13" spans="1:16" s="24" customFormat="1" ht="15.75" customHeight="1">
      <c r="A13" s="24" t="s">
        <v>81</v>
      </c>
      <c r="B13" s="96"/>
      <c r="C13" s="25"/>
      <c r="D13" s="96"/>
      <c r="E13" s="25"/>
      <c r="F13" s="96"/>
      <c r="G13" s="25"/>
      <c r="H13" s="96"/>
      <c r="I13" s="25"/>
      <c r="J13" s="96"/>
      <c r="K13" s="25"/>
      <c r="L13" s="96"/>
      <c r="M13" s="25"/>
      <c r="N13" s="25">
        <f t="shared" si="0"/>
        <v>0</v>
      </c>
    </row>
    <row r="14" spans="1:16" s="24" customFormat="1" ht="15.75" customHeight="1">
      <c r="A14" s="24" t="s">
        <v>90</v>
      </c>
      <c r="B14" s="96"/>
      <c r="C14" s="25"/>
      <c r="D14" s="96"/>
      <c r="E14" s="25"/>
      <c r="F14" s="96"/>
      <c r="G14" s="25"/>
      <c r="H14" s="96"/>
      <c r="I14" s="25"/>
      <c r="J14" s="96"/>
      <c r="K14" s="25"/>
      <c r="L14" s="96"/>
      <c r="M14" s="25"/>
      <c r="N14" s="25">
        <f t="shared" si="0"/>
        <v>0</v>
      </c>
    </row>
    <row r="15" spans="1:16" s="24" customFormat="1" ht="15.75" customHeight="1">
      <c r="A15" s="24" t="s">
        <v>144</v>
      </c>
      <c r="B15" s="96"/>
      <c r="C15" s="25"/>
      <c r="D15" s="96"/>
      <c r="E15" s="25"/>
      <c r="F15" s="96"/>
      <c r="G15" s="25"/>
      <c r="H15" s="96"/>
      <c r="I15" s="25"/>
      <c r="J15" s="96"/>
      <c r="K15" s="25"/>
      <c r="L15" s="96"/>
      <c r="M15" s="25"/>
      <c r="N15" s="25">
        <f t="shared" si="0"/>
        <v>0</v>
      </c>
    </row>
    <row r="16" spans="1:16" s="24" customFormat="1" ht="15.75" customHeight="1">
      <c r="A16" s="24" t="s">
        <v>82</v>
      </c>
      <c r="B16" s="96"/>
      <c r="C16" s="25"/>
      <c r="D16" s="96"/>
      <c r="E16" s="25"/>
      <c r="F16" s="96"/>
      <c r="G16" s="25"/>
      <c r="H16" s="96"/>
      <c r="I16" s="25"/>
      <c r="J16" s="96"/>
      <c r="K16" s="25"/>
      <c r="L16" s="96"/>
      <c r="M16" s="25"/>
      <c r="N16" s="25">
        <f t="shared" si="0"/>
        <v>0</v>
      </c>
    </row>
    <row r="17" spans="1:14" s="24" customFormat="1" ht="15.75" customHeight="1">
      <c r="A17" s="24" t="s">
        <v>83</v>
      </c>
      <c r="B17" s="96"/>
      <c r="C17" s="25"/>
      <c r="D17" s="96"/>
      <c r="E17" s="25"/>
      <c r="F17" s="96"/>
      <c r="G17" s="25"/>
      <c r="H17" s="96"/>
      <c r="I17" s="25"/>
      <c r="J17" s="96"/>
      <c r="K17" s="25"/>
      <c r="L17" s="96"/>
      <c r="M17" s="25"/>
      <c r="N17" s="25">
        <f t="shared" si="0"/>
        <v>0</v>
      </c>
    </row>
    <row r="18" spans="1:14" s="24" customFormat="1" ht="15.75" customHeight="1">
      <c r="A18" s="24" t="s">
        <v>566</v>
      </c>
      <c r="B18" s="96"/>
      <c r="C18" s="25"/>
      <c r="D18" s="96"/>
      <c r="E18" s="25"/>
      <c r="F18" s="96"/>
      <c r="G18" s="25"/>
      <c r="H18" s="96"/>
      <c r="I18" s="25"/>
      <c r="J18" s="96"/>
      <c r="K18" s="25"/>
      <c r="L18" s="96"/>
      <c r="M18" s="25"/>
      <c r="N18" s="25">
        <f t="shared" si="0"/>
        <v>0</v>
      </c>
    </row>
    <row r="19" spans="1:14" s="24" customFormat="1" ht="15.75" customHeight="1">
      <c r="A19" s="24" t="s">
        <v>567</v>
      </c>
      <c r="B19" s="96"/>
      <c r="C19" s="25"/>
      <c r="D19" s="96"/>
      <c r="E19" s="25"/>
      <c r="F19" s="96"/>
      <c r="G19" s="25"/>
      <c r="H19" s="96"/>
      <c r="I19" s="25"/>
      <c r="J19" s="96"/>
      <c r="K19" s="25"/>
      <c r="L19" s="96"/>
      <c r="M19" s="25"/>
      <c r="N19" s="25">
        <f t="shared" si="0"/>
        <v>0</v>
      </c>
    </row>
    <row r="20" spans="1:14" s="24" customFormat="1" ht="15.75" customHeight="1">
      <c r="A20" s="24" t="s">
        <v>568</v>
      </c>
      <c r="B20" s="96"/>
      <c r="C20" s="25"/>
      <c r="D20" s="96"/>
      <c r="E20" s="25"/>
      <c r="F20" s="96"/>
      <c r="G20" s="25"/>
      <c r="H20" s="96"/>
      <c r="I20" s="25"/>
      <c r="J20" s="96"/>
      <c r="K20" s="25"/>
      <c r="L20" s="96"/>
      <c r="M20" s="25"/>
      <c r="N20" s="25">
        <f t="shared" si="0"/>
        <v>0</v>
      </c>
    </row>
    <row r="21" spans="1:14" s="24" customFormat="1" ht="15.75" customHeight="1">
      <c r="A21" s="24" t="s">
        <v>272</v>
      </c>
      <c r="B21" s="96"/>
      <c r="C21" s="25"/>
      <c r="D21" s="96"/>
      <c r="E21" s="25"/>
      <c r="F21" s="96"/>
      <c r="G21" s="25"/>
      <c r="H21" s="96"/>
      <c r="I21" s="25"/>
      <c r="J21" s="96"/>
      <c r="K21" s="25"/>
      <c r="L21" s="96"/>
      <c r="M21" s="25"/>
      <c r="N21" s="25">
        <f t="shared" si="0"/>
        <v>0</v>
      </c>
    </row>
    <row r="22" spans="1:14" s="24" customFormat="1" ht="15.75" customHeight="1">
      <c r="A22" s="24" t="s">
        <v>271</v>
      </c>
      <c r="B22" s="96"/>
      <c r="C22" s="25"/>
      <c r="D22" s="96"/>
      <c r="E22" s="25"/>
      <c r="F22" s="96"/>
      <c r="G22" s="25"/>
      <c r="H22" s="96"/>
      <c r="I22" s="25"/>
      <c r="J22" s="96"/>
      <c r="K22" s="25"/>
      <c r="L22" s="96"/>
      <c r="M22" s="25"/>
      <c r="N22" s="25">
        <f t="shared" si="0"/>
        <v>0</v>
      </c>
    </row>
    <row r="23" spans="1:14" s="24" customFormat="1" ht="15.75" customHeight="1">
      <c r="A23" s="24" t="s">
        <v>1</v>
      </c>
      <c r="B23" s="96"/>
      <c r="C23" s="25"/>
      <c r="D23" s="96"/>
      <c r="E23" s="25"/>
      <c r="F23" s="96"/>
      <c r="G23" s="25"/>
      <c r="H23" s="96"/>
      <c r="I23" s="25"/>
      <c r="J23" s="96"/>
      <c r="K23" s="25"/>
      <c r="L23" s="96"/>
      <c r="M23" s="25"/>
      <c r="N23" s="25">
        <f t="shared" si="0"/>
        <v>0</v>
      </c>
    </row>
    <row r="24" spans="1:14" s="24" customFormat="1" ht="15.75" customHeight="1">
      <c r="A24" s="24" t="s">
        <v>123</v>
      </c>
      <c r="B24" s="96"/>
      <c r="C24" s="25"/>
      <c r="D24" s="96"/>
      <c r="E24" s="25"/>
      <c r="F24" s="96"/>
      <c r="G24" s="25"/>
      <c r="H24" s="96"/>
      <c r="I24" s="25"/>
      <c r="J24" s="96"/>
      <c r="K24" s="25"/>
      <c r="L24" s="96"/>
      <c r="M24" s="25"/>
      <c r="N24" s="25">
        <f t="shared" si="0"/>
        <v>0</v>
      </c>
    </row>
    <row r="25" spans="1:14" s="24" customFormat="1" ht="15.75" customHeight="1">
      <c r="A25" s="24" t="s">
        <v>355</v>
      </c>
      <c r="B25" s="96"/>
      <c r="C25" s="25"/>
      <c r="D25" s="96"/>
      <c r="E25" s="25"/>
      <c r="F25" s="96"/>
      <c r="G25" s="25"/>
      <c r="H25" s="96"/>
      <c r="I25" s="25"/>
      <c r="J25" s="96"/>
      <c r="K25" s="25"/>
      <c r="L25" s="96">
        <v>40228.74</v>
      </c>
      <c r="M25" s="25"/>
      <c r="N25" s="25">
        <f t="shared" si="0"/>
        <v>40228.74</v>
      </c>
    </row>
    <row r="26" spans="1:14" s="24" customFormat="1" ht="15.75" customHeight="1">
      <c r="A26" s="24" t="s">
        <v>120</v>
      </c>
      <c r="B26" s="96"/>
      <c r="C26" s="25"/>
      <c r="D26" s="96"/>
      <c r="E26" s="25"/>
      <c r="F26" s="96"/>
      <c r="G26" s="25"/>
      <c r="H26" s="96"/>
      <c r="I26" s="25"/>
      <c r="J26" s="96"/>
      <c r="K26" s="25"/>
      <c r="L26" s="96"/>
      <c r="M26" s="25"/>
      <c r="N26" s="25">
        <f t="shared" si="0"/>
        <v>0</v>
      </c>
    </row>
    <row r="27" spans="1:14" s="24" customFormat="1" ht="15.75" customHeight="1">
      <c r="A27" s="24" t="s">
        <v>121</v>
      </c>
      <c r="B27" s="96"/>
      <c r="C27" s="25"/>
      <c r="D27" s="96"/>
      <c r="E27" s="25"/>
      <c r="F27" s="96"/>
      <c r="G27" s="25"/>
      <c r="H27" s="96"/>
      <c r="I27" s="25"/>
      <c r="J27" s="96"/>
      <c r="K27" s="25"/>
      <c r="L27" s="96"/>
      <c r="M27" s="25"/>
      <c r="N27" s="25">
        <f t="shared" si="0"/>
        <v>0</v>
      </c>
    </row>
    <row r="28" spans="1:14" s="24" customFormat="1" ht="15.75" customHeight="1">
      <c r="A28" s="24" t="s">
        <v>122</v>
      </c>
      <c r="B28" s="96"/>
      <c r="C28" s="25"/>
      <c r="D28" s="96"/>
      <c r="E28" s="25"/>
      <c r="F28" s="96"/>
      <c r="G28" s="25"/>
      <c r="H28" s="96"/>
      <c r="I28" s="25"/>
      <c r="J28" s="96"/>
      <c r="K28" s="25"/>
      <c r="L28" s="96"/>
      <c r="M28" s="25"/>
      <c r="N28" s="25">
        <f t="shared" si="0"/>
        <v>0</v>
      </c>
    </row>
    <row r="29" spans="1:14" s="24" customFormat="1" ht="15.75" customHeight="1">
      <c r="A29" s="24" t="s">
        <v>570</v>
      </c>
      <c r="B29" s="96"/>
      <c r="C29" s="25"/>
      <c r="D29" s="96"/>
      <c r="E29" s="25"/>
      <c r="F29" s="96"/>
      <c r="G29" s="25"/>
      <c r="H29" s="96"/>
      <c r="I29" s="25"/>
      <c r="J29" s="96"/>
      <c r="K29" s="25"/>
      <c r="L29" s="96"/>
      <c r="M29" s="25"/>
      <c r="N29" s="25">
        <f t="shared" si="0"/>
        <v>0</v>
      </c>
    </row>
    <row r="30" spans="1:14" s="24" customFormat="1" ht="15.75" customHeight="1">
      <c r="A30" s="24" t="s">
        <v>569</v>
      </c>
      <c r="B30" s="96"/>
      <c r="C30" s="25"/>
      <c r="D30" s="96"/>
      <c r="E30" s="25"/>
      <c r="F30" s="96"/>
      <c r="G30" s="25"/>
      <c r="H30" s="96"/>
      <c r="I30" s="25"/>
      <c r="J30" s="96"/>
      <c r="K30" s="25"/>
      <c r="L30" s="96"/>
      <c r="M30" s="25"/>
      <c r="N30" s="25">
        <f t="shared" si="0"/>
        <v>0</v>
      </c>
    </row>
    <row r="31" spans="1:14" s="24" customFormat="1" ht="15.75" customHeight="1">
      <c r="A31" s="24" t="s">
        <v>274</v>
      </c>
      <c r="B31" s="96"/>
      <c r="C31" s="25"/>
      <c r="D31" s="96"/>
      <c r="E31" s="25"/>
      <c r="F31" s="96"/>
      <c r="G31" s="25"/>
      <c r="H31" s="96"/>
      <c r="I31" s="25"/>
      <c r="J31" s="96"/>
      <c r="K31" s="25"/>
      <c r="L31" s="96"/>
      <c r="M31" s="25"/>
      <c r="N31" s="25">
        <f t="shared" si="0"/>
        <v>0</v>
      </c>
    </row>
    <row r="32" spans="1:14" s="24" customFormat="1" ht="15.75" customHeight="1">
      <c r="A32" s="24" t="s">
        <v>372</v>
      </c>
      <c r="B32" s="96">
        <f>1373.56+13494.15</f>
        <v>14867.71</v>
      </c>
      <c r="C32" s="25"/>
      <c r="D32" s="96"/>
      <c r="E32" s="25"/>
      <c r="F32" s="96"/>
      <c r="G32" s="25"/>
      <c r="H32" s="96"/>
      <c r="I32" s="25"/>
      <c r="J32" s="96"/>
      <c r="K32" s="25"/>
      <c r="L32" s="96"/>
      <c r="M32" s="25"/>
      <c r="N32" s="25">
        <f t="shared" si="0"/>
        <v>14867.71</v>
      </c>
    </row>
    <row r="33" spans="1:14" s="24" customFormat="1" ht="15.75" customHeight="1">
      <c r="A33" s="24" t="s">
        <v>273</v>
      </c>
      <c r="B33" s="96"/>
      <c r="C33" s="25"/>
      <c r="D33" s="96">
        <f>2866.43+3015.04+32500</f>
        <v>38381.47</v>
      </c>
      <c r="E33" s="25"/>
      <c r="F33" s="96"/>
      <c r="G33" s="25"/>
      <c r="H33" s="96"/>
      <c r="I33" s="25"/>
      <c r="J33" s="96"/>
      <c r="K33" s="25"/>
      <c r="L33" s="96"/>
      <c r="M33" s="25"/>
      <c r="N33" s="25">
        <f t="shared" si="0"/>
        <v>38381.47</v>
      </c>
    </row>
    <row r="34" spans="1:14" s="24" customFormat="1" ht="15.75" customHeight="1">
      <c r="A34" s="24" t="s">
        <v>577</v>
      </c>
      <c r="B34" s="96"/>
      <c r="C34" s="25"/>
      <c r="D34" s="96"/>
      <c r="E34" s="25"/>
      <c r="F34" s="96"/>
      <c r="G34" s="25"/>
      <c r="H34" s="96"/>
      <c r="I34" s="25"/>
      <c r="J34" s="96"/>
      <c r="K34" s="25"/>
      <c r="L34" s="96"/>
      <c r="M34" s="25"/>
      <c r="N34" s="25">
        <f t="shared" si="0"/>
        <v>0</v>
      </c>
    </row>
    <row r="35" spans="1:14" s="24" customFormat="1" ht="15.75" customHeight="1">
      <c r="A35" s="24" t="s">
        <v>578</v>
      </c>
      <c r="B35" s="96"/>
      <c r="C35" s="25"/>
      <c r="D35" s="96"/>
      <c r="E35" s="25"/>
      <c r="F35" s="96"/>
      <c r="G35" s="25"/>
      <c r="H35" s="96"/>
      <c r="I35" s="25"/>
      <c r="J35" s="96"/>
      <c r="K35" s="25"/>
      <c r="L35" s="96"/>
      <c r="M35" s="25"/>
      <c r="N35" s="25">
        <f t="shared" si="0"/>
        <v>0</v>
      </c>
    </row>
    <row r="36" spans="1:14" s="24" customFormat="1" ht="15.75" customHeight="1">
      <c r="A36" s="24" t="s">
        <v>222</v>
      </c>
      <c r="B36" s="96"/>
      <c r="C36" s="25"/>
      <c r="D36" s="96"/>
      <c r="E36" s="25"/>
      <c r="F36" s="96"/>
      <c r="G36" s="25"/>
      <c r="H36" s="96"/>
      <c r="I36" s="25"/>
      <c r="J36" s="96"/>
      <c r="K36" s="25"/>
      <c r="L36" s="96"/>
      <c r="M36" s="25"/>
      <c r="N36" s="25">
        <f t="shared" si="0"/>
        <v>0</v>
      </c>
    </row>
    <row r="37" spans="1:14" s="24" customFormat="1" ht="15.75" customHeight="1">
      <c r="A37" s="24" t="s">
        <v>275</v>
      </c>
      <c r="B37" s="96"/>
      <c r="C37" s="25"/>
      <c r="D37" s="96"/>
      <c r="E37" s="25"/>
      <c r="F37" s="96"/>
      <c r="G37" s="25"/>
      <c r="H37" s="96"/>
      <c r="I37" s="25"/>
      <c r="J37" s="96"/>
      <c r="K37" s="25"/>
      <c r="L37" s="96"/>
      <c r="M37" s="25"/>
      <c r="N37" s="25">
        <f t="shared" si="0"/>
        <v>0</v>
      </c>
    </row>
    <row r="38" spans="1:14" s="24" customFormat="1" ht="15.75" customHeight="1">
      <c r="A38" s="24" t="s">
        <v>5</v>
      </c>
      <c r="B38" s="157"/>
      <c r="C38" s="26"/>
      <c r="D38" s="157"/>
      <c r="E38" s="26"/>
      <c r="F38" s="157"/>
      <c r="G38" s="26"/>
      <c r="H38" s="157"/>
      <c r="I38" s="26"/>
      <c r="J38" s="157"/>
      <c r="K38" s="26"/>
      <c r="L38" s="157"/>
      <c r="M38" s="25"/>
      <c r="N38" s="25">
        <f t="shared" si="0"/>
        <v>0</v>
      </c>
    </row>
    <row r="39" spans="1:14" s="24" customFormat="1" ht="15.75" customHeight="1">
      <c r="A39" s="24" t="s">
        <v>277</v>
      </c>
      <c r="B39" s="158"/>
      <c r="C39" s="27"/>
      <c r="D39" s="158"/>
      <c r="E39" s="27"/>
      <c r="F39" s="158"/>
      <c r="G39" s="27"/>
      <c r="H39" s="158"/>
      <c r="I39" s="27"/>
      <c r="J39" s="158"/>
      <c r="K39" s="27"/>
      <c r="L39" s="158"/>
      <c r="M39" s="27"/>
      <c r="N39" s="27">
        <f t="shared" si="0"/>
        <v>0</v>
      </c>
    </row>
    <row r="40" spans="1:14" s="24" customFormat="1" ht="15.75" customHeight="1" thickBot="1">
      <c r="A40" s="24" t="s">
        <v>278</v>
      </c>
      <c r="B40" s="159">
        <f>SUM(B8:B39)</f>
        <v>165235</v>
      </c>
      <c r="C40" s="28"/>
      <c r="D40" s="159">
        <f>SUM(D8:D39)</f>
        <v>262343.43</v>
      </c>
      <c r="E40" s="28"/>
      <c r="F40" s="159">
        <f>SUM(F8:F39)</f>
        <v>349423.76</v>
      </c>
      <c r="G40" s="28"/>
      <c r="H40" s="159">
        <f>SUM(H8:H39)</f>
        <v>143398.95000000001</v>
      </c>
      <c r="I40" s="28"/>
      <c r="J40" s="159">
        <f>SUM(J8:J39)</f>
        <v>61074.51</v>
      </c>
      <c r="K40" s="28"/>
      <c r="L40" s="159">
        <f>SUM(L8:L39)</f>
        <v>145766.32</v>
      </c>
      <c r="M40" s="28"/>
      <c r="N40" s="28">
        <f t="shared" si="0"/>
        <v>1127241.97</v>
      </c>
    </row>
    <row r="41" spans="1:14" s="24" customFormat="1" ht="15.75" customHeight="1" thickTop="1">
      <c r="B41" s="96"/>
      <c r="C41" s="25"/>
      <c r="D41" s="96"/>
      <c r="E41" s="25"/>
      <c r="F41" s="96"/>
      <c r="G41" s="25"/>
      <c r="H41" s="96"/>
      <c r="I41" s="25"/>
      <c r="J41" s="96"/>
      <c r="K41" s="25"/>
      <c r="L41" s="96"/>
      <c r="M41" s="25"/>
      <c r="N41" s="25"/>
    </row>
    <row r="42" spans="1:14" s="24" customFormat="1" ht="15.75" customHeight="1">
      <c r="A42" s="46" t="s">
        <v>279</v>
      </c>
      <c r="B42" s="96"/>
      <c r="C42" s="25"/>
      <c r="D42" s="96"/>
      <c r="E42" s="25"/>
      <c r="F42" s="96"/>
      <c r="G42" s="25"/>
      <c r="H42" s="96"/>
      <c r="I42" s="25"/>
      <c r="J42" s="96"/>
      <c r="K42" s="25"/>
      <c r="L42" s="96"/>
      <c r="M42" s="25"/>
      <c r="N42" s="25"/>
    </row>
    <row r="43" spans="1:14" s="24" customFormat="1" ht="15.75" customHeight="1">
      <c r="A43" s="24" t="s">
        <v>224</v>
      </c>
      <c r="B43" s="96">
        <v>9817.9599999999991</v>
      </c>
      <c r="C43" s="25"/>
      <c r="D43" s="96">
        <v>19903.439999999999</v>
      </c>
      <c r="E43" s="25"/>
      <c r="F43" s="96">
        <v>59.13</v>
      </c>
      <c r="G43" s="25"/>
      <c r="H43" s="96">
        <v>2531.35</v>
      </c>
      <c r="I43" s="25"/>
      <c r="J43" s="96">
        <v>426.08</v>
      </c>
      <c r="K43" s="25"/>
      <c r="L43" s="96"/>
      <c r="M43" s="25"/>
      <c r="N43" s="25">
        <f t="shared" ref="N43:N52" si="1">SUM(B43:L43)</f>
        <v>32737.96</v>
      </c>
    </row>
    <row r="44" spans="1:14" s="24" customFormat="1" ht="15.75" customHeight="1">
      <c r="A44" s="24" t="s">
        <v>335</v>
      </c>
      <c r="B44" s="96"/>
      <c r="C44" s="25"/>
      <c r="D44" s="96">
        <v>6200.86</v>
      </c>
      <c r="E44" s="25"/>
      <c r="F44" s="96"/>
      <c r="G44" s="25"/>
      <c r="H44" s="96"/>
      <c r="I44" s="25"/>
      <c r="J44" s="96"/>
      <c r="K44" s="25"/>
      <c r="L44" s="96"/>
      <c r="M44" s="25"/>
      <c r="N44" s="25">
        <f t="shared" si="1"/>
        <v>6200.86</v>
      </c>
    </row>
    <row r="45" spans="1:14" s="24" customFormat="1" ht="15.75" customHeight="1">
      <c r="A45" s="24" t="s">
        <v>84</v>
      </c>
      <c r="B45" s="96"/>
      <c r="C45" s="25"/>
      <c r="D45" s="96"/>
      <c r="E45" s="25"/>
      <c r="F45" s="96"/>
      <c r="G45" s="25"/>
      <c r="H45" s="96"/>
      <c r="I45" s="25"/>
      <c r="J45" s="96"/>
      <c r="K45" s="25"/>
      <c r="L45" s="96"/>
      <c r="M45" s="25"/>
      <c r="N45" s="25">
        <f t="shared" si="1"/>
        <v>0</v>
      </c>
    </row>
    <row r="46" spans="1:14" s="24" customFormat="1" ht="15.75" customHeight="1">
      <c r="A46" s="24" t="s">
        <v>88</v>
      </c>
      <c r="B46" s="96"/>
      <c r="C46" s="25"/>
      <c r="D46" s="96"/>
      <c r="E46" s="25"/>
      <c r="F46" s="96"/>
      <c r="G46" s="25"/>
      <c r="H46" s="96"/>
      <c r="I46" s="25"/>
      <c r="J46" s="96"/>
      <c r="K46" s="25"/>
      <c r="L46" s="96"/>
      <c r="M46" s="25"/>
      <c r="N46" s="25">
        <f t="shared" si="1"/>
        <v>0</v>
      </c>
    </row>
    <row r="47" spans="1:14" s="24" customFormat="1" ht="15.75" customHeight="1">
      <c r="A47" s="24" t="s">
        <v>85</v>
      </c>
      <c r="B47" s="96"/>
      <c r="C47" s="25"/>
      <c r="D47" s="96"/>
      <c r="E47" s="25"/>
      <c r="F47" s="96"/>
      <c r="G47" s="25"/>
      <c r="H47" s="96"/>
      <c r="I47" s="25"/>
      <c r="J47" s="96"/>
      <c r="K47" s="25"/>
      <c r="L47" s="96"/>
      <c r="M47" s="25"/>
      <c r="N47" s="25">
        <f t="shared" si="1"/>
        <v>0</v>
      </c>
    </row>
    <row r="48" spans="1:14" s="24" customFormat="1" ht="15.75" customHeight="1">
      <c r="A48" s="24" t="s">
        <v>304</v>
      </c>
      <c r="B48" s="96"/>
      <c r="C48" s="25"/>
      <c r="D48" s="96"/>
      <c r="E48" s="25"/>
      <c r="F48" s="96"/>
      <c r="G48" s="25"/>
      <c r="H48" s="96"/>
      <c r="I48" s="25"/>
      <c r="J48" s="96"/>
      <c r="K48" s="25"/>
      <c r="L48" s="96"/>
      <c r="M48" s="25"/>
      <c r="N48" s="25">
        <f t="shared" si="1"/>
        <v>0</v>
      </c>
    </row>
    <row r="49" spans="1:14" s="24" customFormat="1" ht="15.75" customHeight="1">
      <c r="A49" s="24" t="s">
        <v>280</v>
      </c>
      <c r="B49" s="157"/>
      <c r="C49" s="25"/>
      <c r="D49" s="96">
        <v>818.98</v>
      </c>
      <c r="E49" s="25"/>
      <c r="F49" s="96"/>
      <c r="G49" s="25"/>
      <c r="H49" s="96"/>
      <c r="I49" s="25"/>
      <c r="J49" s="96"/>
      <c r="K49" s="25"/>
      <c r="L49" s="96">
        <v>40228.74</v>
      </c>
      <c r="M49" s="25"/>
      <c r="N49" s="25">
        <f t="shared" si="1"/>
        <v>41047.72</v>
      </c>
    </row>
    <row r="50" spans="1:14" s="24" customFormat="1" ht="15.75" customHeight="1">
      <c r="A50" s="24" t="s">
        <v>584</v>
      </c>
      <c r="B50" s="157"/>
      <c r="C50" s="25"/>
      <c r="D50" s="96"/>
      <c r="E50" s="25"/>
      <c r="F50" s="96"/>
      <c r="G50" s="25"/>
      <c r="H50" s="96"/>
      <c r="I50" s="25"/>
      <c r="J50" s="96"/>
      <c r="K50" s="25"/>
      <c r="L50" s="96"/>
      <c r="M50" s="25"/>
      <c r="N50" s="25">
        <f t="shared" si="1"/>
        <v>0</v>
      </c>
    </row>
    <row r="51" spans="1:14" s="24" customFormat="1" ht="15.75" customHeight="1">
      <c r="A51" s="24" t="s">
        <v>281</v>
      </c>
      <c r="B51" s="157"/>
      <c r="C51" s="26"/>
      <c r="D51" s="157"/>
      <c r="E51" s="26"/>
      <c r="F51" s="157"/>
      <c r="G51" s="26"/>
      <c r="H51" s="157"/>
      <c r="I51" s="26"/>
      <c r="J51" s="157"/>
      <c r="K51" s="26"/>
      <c r="L51" s="157"/>
      <c r="M51" s="25"/>
      <c r="N51" s="25">
        <f t="shared" si="1"/>
        <v>0</v>
      </c>
    </row>
    <row r="52" spans="1:14" s="24" customFormat="1" ht="15.75" customHeight="1">
      <c r="A52" s="24" t="s">
        <v>282</v>
      </c>
      <c r="B52" s="160">
        <f>SUM(B43:B51)</f>
        <v>9817.9599999999991</v>
      </c>
      <c r="C52" s="90"/>
      <c r="D52" s="160">
        <f>SUM(D43:D51)</f>
        <v>26923.279999999999</v>
      </c>
      <c r="E52" s="90"/>
      <c r="F52" s="160">
        <f>SUM(F43:F51)</f>
        <v>59.13</v>
      </c>
      <c r="G52" s="90"/>
      <c r="H52" s="160">
        <f>SUM(H43:H51)</f>
        <v>2531.35</v>
      </c>
      <c r="I52" s="90"/>
      <c r="J52" s="160">
        <f>SUM(J43:J51)</f>
        <v>426.08</v>
      </c>
      <c r="K52" s="90"/>
      <c r="L52" s="160">
        <f>SUM(L43:L51)</f>
        <v>40228.74</v>
      </c>
      <c r="M52" s="90"/>
      <c r="N52" s="90">
        <f t="shared" si="1"/>
        <v>79986.539999999994</v>
      </c>
    </row>
    <row r="53" spans="1:14" s="24" customFormat="1" ht="15.75" customHeight="1">
      <c r="B53" s="96"/>
      <c r="C53" s="25"/>
      <c r="D53" s="96"/>
      <c r="E53" s="25"/>
      <c r="F53" s="96"/>
      <c r="G53" s="25"/>
      <c r="H53" s="96"/>
      <c r="I53" s="25"/>
      <c r="J53" s="96"/>
      <c r="K53" s="25"/>
      <c r="L53" s="96"/>
      <c r="M53" s="25"/>
      <c r="N53" s="25"/>
    </row>
    <row r="54" spans="1:14" s="24" customFormat="1" ht="15.75" customHeight="1">
      <c r="B54" s="96"/>
      <c r="C54" s="25"/>
      <c r="D54" s="96"/>
      <c r="E54" s="25"/>
      <c r="F54" s="96"/>
      <c r="G54" s="25"/>
      <c r="H54" s="96"/>
      <c r="I54" s="25"/>
      <c r="J54" s="96"/>
      <c r="K54" s="25"/>
      <c r="L54" s="96"/>
      <c r="M54" s="25"/>
      <c r="N54" s="25"/>
    </row>
    <row r="55" spans="1:14" s="24" customFormat="1" ht="15.75" customHeight="1">
      <c r="A55" s="46" t="s">
        <v>283</v>
      </c>
      <c r="B55" s="96"/>
      <c r="C55" s="25"/>
      <c r="D55" s="96"/>
      <c r="E55" s="25"/>
      <c r="F55" s="96"/>
      <c r="G55" s="25"/>
      <c r="H55" s="96"/>
      <c r="I55" s="25"/>
      <c r="J55" s="96"/>
      <c r="K55" s="25"/>
      <c r="L55" s="96"/>
      <c r="M55" s="25"/>
      <c r="N55" s="25"/>
    </row>
    <row r="56" spans="1:14" s="24" customFormat="1" ht="15.75" customHeight="1">
      <c r="A56" s="24" t="s">
        <v>86</v>
      </c>
      <c r="B56" s="96"/>
      <c r="C56" s="25"/>
      <c r="D56" s="96"/>
      <c r="E56" s="25"/>
      <c r="F56" s="96"/>
      <c r="G56" s="25"/>
      <c r="H56" s="96"/>
      <c r="I56" s="25"/>
      <c r="J56" s="96"/>
      <c r="K56" s="25"/>
      <c r="L56" s="96"/>
      <c r="M56" s="25"/>
      <c r="N56" s="96">
        <f t="shared" ref="N56:N66" si="2">SUM(B56:L56)</f>
        <v>0</v>
      </c>
    </row>
    <row r="57" spans="1:14" s="24" customFormat="1" ht="15.75" customHeight="1">
      <c r="A57" s="24" t="s">
        <v>87</v>
      </c>
      <c r="B57" s="96"/>
      <c r="C57" s="25"/>
      <c r="D57" s="96"/>
      <c r="E57" s="25"/>
      <c r="F57" s="96"/>
      <c r="G57" s="25"/>
      <c r="H57" s="96"/>
      <c r="I57" s="25"/>
      <c r="J57" s="96"/>
      <c r="K57" s="25"/>
      <c r="L57" s="96"/>
      <c r="M57" s="25"/>
      <c r="N57" s="96">
        <f t="shared" si="2"/>
        <v>0</v>
      </c>
    </row>
    <row r="58" spans="1:14" s="24" customFormat="1" ht="15.75" customHeight="1">
      <c r="A58" s="24" t="s">
        <v>4</v>
      </c>
      <c r="B58" s="96"/>
      <c r="C58" s="25"/>
      <c r="D58" s="96"/>
      <c r="E58" s="25"/>
      <c r="F58" s="96"/>
      <c r="G58" s="25"/>
      <c r="H58" s="96"/>
      <c r="I58" s="25"/>
      <c r="J58" s="96"/>
      <c r="K58" s="25"/>
      <c r="L58" s="96"/>
      <c r="M58" s="25"/>
      <c r="N58" s="96">
        <f t="shared" si="2"/>
        <v>0</v>
      </c>
    </row>
    <row r="59" spans="1:14" s="24" customFormat="1" ht="15.75" customHeight="1">
      <c r="A59" s="24" t="s">
        <v>580</v>
      </c>
      <c r="B59" s="96"/>
      <c r="C59" s="25"/>
      <c r="D59" s="96"/>
      <c r="E59" s="25"/>
      <c r="F59" s="96"/>
      <c r="G59" s="25"/>
      <c r="H59" s="96"/>
      <c r="I59" s="25"/>
      <c r="J59" s="96"/>
      <c r="K59" s="25"/>
      <c r="L59" s="96"/>
      <c r="M59" s="25"/>
      <c r="N59" s="96">
        <f t="shared" si="2"/>
        <v>0</v>
      </c>
    </row>
    <row r="60" spans="1:14" s="24" customFormat="1" ht="15.75" customHeight="1">
      <c r="A60" s="24" t="s">
        <v>581</v>
      </c>
      <c r="B60" s="96"/>
      <c r="C60" s="25"/>
      <c r="D60" s="96"/>
      <c r="E60" s="25"/>
      <c r="F60" s="96"/>
      <c r="G60" s="25"/>
      <c r="H60" s="96"/>
      <c r="I60" s="25"/>
      <c r="J60" s="96"/>
      <c r="K60" s="25"/>
      <c r="L60" s="96"/>
      <c r="M60" s="25"/>
      <c r="N60" s="96">
        <f t="shared" si="2"/>
        <v>0</v>
      </c>
    </row>
    <row r="61" spans="1:14" s="24" customFormat="1" ht="15.75" customHeight="1">
      <c r="A61" s="24" t="s">
        <v>582</v>
      </c>
      <c r="B61" s="96"/>
      <c r="C61" s="25"/>
      <c r="D61" s="96"/>
      <c r="E61" s="25"/>
      <c r="F61" s="96"/>
      <c r="G61" s="25"/>
      <c r="H61" s="96"/>
      <c r="I61" s="25"/>
      <c r="J61" s="96"/>
      <c r="K61" s="25"/>
      <c r="L61" s="96"/>
      <c r="M61" s="25"/>
      <c r="N61" s="96">
        <f t="shared" si="2"/>
        <v>0</v>
      </c>
    </row>
    <row r="62" spans="1:14" s="24" customFormat="1" ht="15.75" customHeight="1">
      <c r="A62" s="24" t="s">
        <v>583</v>
      </c>
      <c r="B62" s="96"/>
      <c r="C62" s="25"/>
      <c r="D62" s="96"/>
      <c r="E62" s="25"/>
      <c r="F62" s="96"/>
      <c r="G62" s="25"/>
      <c r="H62" s="96"/>
      <c r="I62" s="25"/>
      <c r="J62" s="96"/>
      <c r="K62" s="25"/>
      <c r="L62" s="96"/>
      <c r="M62" s="25"/>
      <c r="N62" s="96">
        <f t="shared" si="2"/>
        <v>0</v>
      </c>
    </row>
    <row r="63" spans="1:14" s="24" customFormat="1" ht="15.75" customHeight="1">
      <c r="A63" s="24" t="s">
        <v>579</v>
      </c>
      <c r="B63" s="96"/>
      <c r="C63" s="25"/>
      <c r="D63" s="96"/>
      <c r="E63" s="25"/>
      <c r="F63" s="96"/>
      <c r="G63" s="25"/>
      <c r="H63" s="96"/>
      <c r="I63" s="25"/>
      <c r="J63" s="96"/>
      <c r="K63" s="25"/>
      <c r="L63" s="96"/>
      <c r="M63" s="25"/>
      <c r="N63" s="96">
        <f t="shared" si="2"/>
        <v>0</v>
      </c>
    </row>
    <row r="64" spans="1:14" ht="15.75" customHeight="1">
      <c r="A64" s="24" t="s">
        <v>3</v>
      </c>
      <c r="B64" s="96">
        <f>0.6-0.06+9460.25-16843.81+162800.06</f>
        <v>155417.04</v>
      </c>
      <c r="C64" s="25"/>
      <c r="D64" s="96">
        <f>166000+10000+7443.93-0.01-7828.56-0.01-818.98+6313+661.8+2567.24+325+42.84+2412.12+10580.23+11266.29+19168.98+7286.28</f>
        <v>235420.14999999997</v>
      </c>
      <c r="E64" s="25"/>
      <c r="F64" s="96">
        <f>7266.88+60139.86+526.4+67760.79+10732+202938.7</f>
        <v>349364.63</v>
      </c>
      <c r="G64" s="25"/>
      <c r="H64" s="96">
        <f>2300+2499.22+31730.45+2660.12+1975.94-4285.71+1236.73+57119.52+500+215+40020.59</f>
        <v>135971.85999999999</v>
      </c>
      <c r="I64" s="25"/>
      <c r="J64" s="96">
        <f>5205.56+206.72+500+1653.61+100+1320+391.85+2022.38+2017.1+872+1070+1354.2+300+37967.46+5225.55+442</f>
        <v>60648.43</v>
      </c>
      <c r="K64" s="25"/>
      <c r="L64" s="96">
        <f>100356.91+5180.67</f>
        <v>105537.58</v>
      </c>
      <c r="M64" s="25"/>
      <c r="N64" s="25">
        <f t="shared" si="2"/>
        <v>1042359.69</v>
      </c>
    </row>
    <row r="65" spans="1:14" s="24" customFormat="1" ht="15.75" customHeight="1">
      <c r="A65" s="24" t="s">
        <v>574</v>
      </c>
      <c r="B65" s="158"/>
      <c r="C65" s="27"/>
      <c r="D65" s="158"/>
      <c r="E65" s="27"/>
      <c r="F65" s="158"/>
      <c r="G65" s="27"/>
      <c r="H65" s="158">
        <v>4895.74</v>
      </c>
      <c r="I65" s="27"/>
      <c r="J65" s="158"/>
      <c r="K65" s="27"/>
      <c r="L65" s="158"/>
      <c r="M65" s="27"/>
      <c r="N65" s="27">
        <f t="shared" si="2"/>
        <v>4895.74</v>
      </c>
    </row>
    <row r="66" spans="1:14" s="24" customFormat="1" ht="15.75" customHeight="1">
      <c r="A66" s="24" t="s">
        <v>284</v>
      </c>
      <c r="B66" s="96">
        <f>SUM(B56:B65)</f>
        <v>155417.04</v>
      </c>
      <c r="C66" s="25"/>
      <c r="D66" s="96">
        <f>SUM(D56:D65)</f>
        <v>235420.14999999997</v>
      </c>
      <c r="E66" s="25"/>
      <c r="F66" s="96">
        <f>SUM(F56:F65)</f>
        <v>349364.63</v>
      </c>
      <c r="G66" s="25"/>
      <c r="H66" s="96">
        <f>SUM(H56:H65)</f>
        <v>140867.59999999998</v>
      </c>
      <c r="I66" s="25"/>
      <c r="J66" s="96">
        <f>SUM(J56:J65)</f>
        <v>60648.43</v>
      </c>
      <c r="K66" s="25"/>
      <c r="L66" s="96">
        <f>SUM(L56:L65)</f>
        <v>105537.58</v>
      </c>
      <c r="M66" s="25"/>
      <c r="N66" s="25">
        <f t="shared" si="2"/>
        <v>1047255.4299999999</v>
      </c>
    </row>
    <row r="67" spans="1:14" s="24" customFormat="1" ht="15.75" customHeight="1">
      <c r="B67" s="96"/>
      <c r="C67" s="25"/>
      <c r="D67" s="96"/>
      <c r="E67" s="25"/>
      <c r="F67" s="96"/>
      <c r="G67" s="25"/>
      <c r="H67" s="96"/>
      <c r="I67" s="25"/>
      <c r="J67" s="96"/>
      <c r="K67" s="25"/>
      <c r="L67" s="96"/>
      <c r="M67" s="25"/>
      <c r="N67" s="25"/>
    </row>
    <row r="68" spans="1:14" s="24" customFormat="1" ht="15.75" customHeight="1" thickBot="1">
      <c r="A68" s="24" t="s">
        <v>285</v>
      </c>
      <c r="B68" s="159">
        <f>B52+B66</f>
        <v>165235</v>
      </c>
      <c r="C68" s="28"/>
      <c r="D68" s="159">
        <f>D52+D66</f>
        <v>262343.42999999993</v>
      </c>
      <c r="E68" s="28"/>
      <c r="F68" s="159">
        <f>F52+F66</f>
        <v>349423.76</v>
      </c>
      <c r="G68" s="28"/>
      <c r="H68" s="159">
        <f>H52+H66</f>
        <v>143398.94999999998</v>
      </c>
      <c r="I68" s="28"/>
      <c r="J68" s="159">
        <f>J52+J66</f>
        <v>61074.51</v>
      </c>
      <c r="K68" s="28"/>
      <c r="L68" s="159">
        <f>L52+L66</f>
        <v>145766.32</v>
      </c>
      <c r="M68" s="28"/>
      <c r="N68" s="28">
        <f>SUM(B68:L68)</f>
        <v>1127241.97</v>
      </c>
    </row>
    <row r="69" spans="1:14" ht="15.75" customHeight="1" thickTop="1">
      <c r="B69" s="237"/>
    </row>
    <row r="79" spans="1:14" ht="12" customHeight="1">
      <c r="A79" s="215" t="s">
        <v>571</v>
      </c>
    </row>
    <row r="80" spans="1:14" ht="15.75" customHeight="1">
      <c r="A80" s="215" t="s">
        <v>572</v>
      </c>
    </row>
    <row r="81" spans="1:1" ht="15.75" customHeight="1">
      <c r="A81" s="215" t="s">
        <v>573</v>
      </c>
    </row>
  </sheetData>
  <mergeCells count="6">
    <mergeCell ref="A1:K1"/>
    <mergeCell ref="L1:N1"/>
    <mergeCell ref="A2:K2"/>
    <mergeCell ref="L2:N2"/>
    <mergeCell ref="A3:K3"/>
    <mergeCell ref="L3:N3"/>
  </mergeCells>
  <pageMargins left="0.7" right="0.7" top="0.75" bottom="0.75" header="0.3" footer="0.3"/>
  <pageSetup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O8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C71" sqref="C71"/>
    </sheetView>
  </sheetViews>
  <sheetFormatPr defaultColWidth="7.109375" defaultRowHeight="15.75" customHeight="1"/>
  <cols>
    <col min="1" max="1" width="42.77734375" style="43" customWidth="1"/>
    <col min="2" max="2" width="17.77734375" style="43" customWidth="1"/>
    <col min="3" max="3" width="2.88671875" style="43" customWidth="1"/>
    <col min="4" max="4" width="17.77734375" style="161" customWidth="1"/>
    <col min="5" max="5" width="2.21875" style="161" customWidth="1"/>
    <col min="6" max="6" width="17.77734375" style="161" customWidth="1"/>
    <col min="7" max="7" width="2.21875" style="161" customWidth="1"/>
    <col min="8" max="8" width="17.77734375" style="161" customWidth="1"/>
    <col min="9" max="9" width="2.5546875" style="43" customWidth="1"/>
    <col min="10" max="12" width="2.88671875" style="43" hidden="1" customWidth="1"/>
    <col min="13" max="13" width="17.77734375" style="43" customWidth="1"/>
    <col min="14" max="16384" width="7.109375" style="43"/>
  </cols>
  <sheetData>
    <row r="1" spans="1:15" ht="15.75" customHeight="1">
      <c r="A1" s="257" t="s">
        <v>46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31"/>
      <c r="O1" s="231"/>
    </row>
    <row r="2" spans="1:15" ht="15.75" customHeight="1">
      <c r="A2" s="257" t="s">
        <v>744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31"/>
      <c r="O2" s="231"/>
    </row>
    <row r="3" spans="1:15" ht="15.75" customHeight="1">
      <c r="A3" s="257" t="s">
        <v>845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31"/>
      <c r="O3" s="231"/>
    </row>
    <row r="4" spans="1:15" ht="15.75" customHeight="1">
      <c r="A4" s="230"/>
      <c r="B4" s="232"/>
      <c r="C4" s="232"/>
      <c r="D4" s="154"/>
      <c r="E4" s="154"/>
      <c r="F4" s="154"/>
      <c r="G4" s="154"/>
      <c r="H4" s="154"/>
      <c r="I4" s="232"/>
      <c r="J4" s="232"/>
      <c r="K4" s="232"/>
      <c r="L4" s="231"/>
      <c r="M4" s="231"/>
      <c r="N4" s="231"/>
      <c r="O4" s="231"/>
    </row>
    <row r="5" spans="1:15" s="24" customFormat="1" ht="15.75" customHeight="1">
      <c r="B5" s="44" t="s">
        <v>745</v>
      </c>
      <c r="D5" s="155" t="s">
        <v>736</v>
      </c>
      <c r="E5" s="155"/>
      <c r="F5" s="155" t="s">
        <v>165</v>
      </c>
      <c r="G5" s="155"/>
      <c r="H5" s="155" t="s">
        <v>751</v>
      </c>
    </row>
    <row r="6" spans="1:15" s="24" customFormat="1" ht="15.75" customHeight="1">
      <c r="B6" s="45" t="s">
        <v>137</v>
      </c>
      <c r="D6" s="156" t="s">
        <v>137</v>
      </c>
      <c r="E6" s="236"/>
      <c r="F6" s="156" t="s">
        <v>802</v>
      </c>
      <c r="G6" s="236"/>
      <c r="H6" s="156" t="s">
        <v>752</v>
      </c>
      <c r="M6" s="45" t="s">
        <v>268</v>
      </c>
    </row>
    <row r="7" spans="1:15" s="24" customFormat="1" ht="15.75" customHeight="1">
      <c r="A7" s="46" t="s">
        <v>269</v>
      </c>
      <c r="B7" s="25"/>
      <c r="C7" s="25"/>
      <c r="D7" s="96"/>
      <c r="E7" s="96"/>
      <c r="F7" s="96"/>
      <c r="G7" s="96"/>
      <c r="H7" s="96"/>
      <c r="I7" s="25"/>
      <c r="J7" s="25"/>
      <c r="K7" s="25"/>
      <c r="L7" s="25"/>
      <c r="M7" s="25"/>
    </row>
    <row r="8" spans="1:15" s="24" customFormat="1" ht="15.75" customHeight="1">
      <c r="A8" s="24" t="s">
        <v>223</v>
      </c>
      <c r="B8" s="25">
        <v>57.88</v>
      </c>
      <c r="C8" s="25"/>
      <c r="D8" s="96">
        <v>61280.95</v>
      </c>
      <c r="E8" s="96"/>
      <c r="F8" s="96">
        <v>4121238.15</v>
      </c>
      <c r="G8" s="96"/>
      <c r="H8" s="96">
        <v>693447.09</v>
      </c>
      <c r="I8" s="25"/>
      <c r="J8" s="25"/>
      <c r="K8" s="25"/>
      <c r="L8" s="25"/>
      <c r="M8" s="96">
        <f t="shared" ref="M8:M40" si="0">SUM(B8:K8)</f>
        <v>4876024.07</v>
      </c>
    </row>
    <row r="9" spans="1:15" s="24" customFormat="1" ht="15.75" customHeight="1">
      <c r="A9" s="24" t="s">
        <v>89</v>
      </c>
      <c r="B9" s="25"/>
      <c r="C9" s="25"/>
      <c r="D9" s="96"/>
      <c r="E9" s="96"/>
      <c r="F9" s="96"/>
      <c r="G9" s="96"/>
      <c r="H9" s="96"/>
      <c r="I9" s="25"/>
      <c r="J9" s="25"/>
      <c r="K9" s="25"/>
      <c r="L9" s="25"/>
      <c r="M9" s="25">
        <f t="shared" si="0"/>
        <v>0</v>
      </c>
    </row>
    <row r="10" spans="1:15" s="24" customFormat="1" ht="15.75" customHeight="1">
      <c r="A10" s="24" t="s">
        <v>142</v>
      </c>
      <c r="B10" s="25"/>
      <c r="C10" s="25"/>
      <c r="D10" s="96"/>
      <c r="E10" s="96"/>
      <c r="F10" s="96"/>
      <c r="G10" s="96"/>
      <c r="H10" s="96"/>
      <c r="I10" s="25"/>
      <c r="J10" s="25"/>
      <c r="K10" s="25"/>
      <c r="L10" s="25"/>
      <c r="M10" s="25">
        <f t="shared" si="0"/>
        <v>0</v>
      </c>
    </row>
    <row r="11" spans="1:15" s="24" customFormat="1" ht="15.75" customHeight="1">
      <c r="A11" s="24" t="s">
        <v>383</v>
      </c>
      <c r="B11" s="25"/>
      <c r="C11" s="25"/>
      <c r="D11" s="96"/>
      <c r="E11" s="96"/>
      <c r="F11" s="96"/>
      <c r="G11" s="96"/>
      <c r="H11" s="96"/>
      <c r="I11" s="25"/>
      <c r="J11" s="25"/>
      <c r="K11" s="25"/>
      <c r="L11" s="25"/>
      <c r="M11" s="25">
        <f t="shared" si="0"/>
        <v>0</v>
      </c>
    </row>
    <row r="12" spans="1:15" s="24" customFormat="1" ht="15.75" customHeight="1">
      <c r="A12" s="24" t="s">
        <v>270</v>
      </c>
      <c r="B12" s="25"/>
      <c r="C12" s="25"/>
      <c r="D12" s="96"/>
      <c r="E12" s="96"/>
      <c r="F12" s="96"/>
      <c r="G12" s="96"/>
      <c r="H12" s="96"/>
      <c r="I12" s="25"/>
      <c r="J12" s="25"/>
      <c r="K12" s="25"/>
      <c r="L12" s="25"/>
      <c r="M12" s="25">
        <f t="shared" si="0"/>
        <v>0</v>
      </c>
    </row>
    <row r="13" spans="1:15" s="24" customFormat="1" ht="15.75" customHeight="1">
      <c r="A13" s="24" t="s">
        <v>81</v>
      </c>
      <c r="B13" s="25"/>
      <c r="C13" s="25"/>
      <c r="D13" s="96"/>
      <c r="E13" s="96"/>
      <c r="F13" s="96"/>
      <c r="G13" s="96"/>
      <c r="H13" s="96"/>
      <c r="I13" s="25"/>
      <c r="J13" s="25"/>
      <c r="K13" s="25"/>
      <c r="L13" s="25"/>
      <c r="M13" s="25">
        <f t="shared" si="0"/>
        <v>0</v>
      </c>
    </row>
    <row r="14" spans="1:15" s="24" customFormat="1" ht="15.75" customHeight="1">
      <c r="A14" s="24" t="s">
        <v>90</v>
      </c>
      <c r="B14" s="25"/>
      <c r="C14" s="25"/>
      <c r="D14" s="96"/>
      <c r="E14" s="96"/>
      <c r="F14" s="96"/>
      <c r="G14" s="96"/>
      <c r="H14" s="96"/>
      <c r="I14" s="25"/>
      <c r="J14" s="25"/>
      <c r="K14" s="25"/>
      <c r="L14" s="25"/>
      <c r="M14" s="25">
        <f t="shared" si="0"/>
        <v>0</v>
      </c>
    </row>
    <row r="15" spans="1:15" s="24" customFormat="1" ht="15.75" customHeight="1">
      <c r="A15" s="24" t="s">
        <v>144</v>
      </c>
      <c r="B15" s="25"/>
      <c r="C15" s="25"/>
      <c r="D15" s="96"/>
      <c r="E15" s="96"/>
      <c r="F15" s="96"/>
      <c r="G15" s="96"/>
      <c r="H15" s="96"/>
      <c r="I15" s="25"/>
      <c r="J15" s="25"/>
      <c r="K15" s="25"/>
      <c r="L15" s="25"/>
      <c r="M15" s="25">
        <f t="shared" si="0"/>
        <v>0</v>
      </c>
    </row>
    <row r="16" spans="1:15" s="24" customFormat="1" ht="15.75" customHeight="1">
      <c r="A16" s="24" t="s">
        <v>82</v>
      </c>
      <c r="B16" s="25"/>
      <c r="C16" s="25"/>
      <c r="D16" s="96"/>
      <c r="E16" s="96"/>
      <c r="F16" s="96"/>
      <c r="G16" s="96"/>
      <c r="H16" s="96"/>
      <c r="I16" s="25"/>
      <c r="J16" s="25"/>
      <c r="K16" s="25"/>
      <c r="L16" s="25"/>
      <c r="M16" s="25">
        <f t="shared" si="0"/>
        <v>0</v>
      </c>
    </row>
    <row r="17" spans="1:13" s="24" customFormat="1" ht="15.75" customHeight="1">
      <c r="A17" s="24" t="s">
        <v>83</v>
      </c>
      <c r="B17" s="25"/>
      <c r="C17" s="25"/>
      <c r="D17" s="96"/>
      <c r="E17" s="96"/>
      <c r="F17" s="96"/>
      <c r="G17" s="96"/>
      <c r="H17" s="96"/>
      <c r="I17" s="25"/>
      <c r="J17" s="25"/>
      <c r="K17" s="25"/>
      <c r="L17" s="25"/>
      <c r="M17" s="25">
        <f t="shared" si="0"/>
        <v>0</v>
      </c>
    </row>
    <row r="18" spans="1:13" s="24" customFormat="1" ht="15.75" customHeight="1">
      <c r="A18" s="24" t="s">
        <v>566</v>
      </c>
      <c r="B18" s="25"/>
      <c r="C18" s="25"/>
      <c r="D18" s="96"/>
      <c r="E18" s="96"/>
      <c r="F18" s="96"/>
      <c r="G18" s="96"/>
      <c r="H18" s="96"/>
      <c r="I18" s="25"/>
      <c r="J18" s="25"/>
      <c r="K18" s="25"/>
      <c r="L18" s="25"/>
      <c r="M18" s="25">
        <f t="shared" si="0"/>
        <v>0</v>
      </c>
    </row>
    <row r="19" spans="1:13" s="24" customFormat="1" ht="15.75" customHeight="1">
      <c r="A19" s="24" t="s">
        <v>567</v>
      </c>
      <c r="B19" s="25"/>
      <c r="C19" s="25"/>
      <c r="D19" s="96"/>
      <c r="E19" s="96"/>
      <c r="F19" s="96"/>
      <c r="G19" s="96"/>
      <c r="H19" s="96"/>
      <c r="I19" s="25"/>
      <c r="J19" s="25"/>
      <c r="K19" s="25"/>
      <c r="L19" s="25"/>
      <c r="M19" s="25">
        <f t="shared" si="0"/>
        <v>0</v>
      </c>
    </row>
    <row r="20" spans="1:13" s="24" customFormat="1" ht="15.75" customHeight="1">
      <c r="A20" s="24" t="s">
        <v>568</v>
      </c>
      <c r="B20" s="25"/>
      <c r="C20" s="25"/>
      <c r="D20" s="96"/>
      <c r="E20" s="96"/>
      <c r="F20" s="96"/>
      <c r="G20" s="96"/>
      <c r="H20" s="96"/>
      <c r="I20" s="25"/>
      <c r="J20" s="25"/>
      <c r="K20" s="25"/>
      <c r="L20" s="25"/>
      <c r="M20" s="25">
        <f t="shared" si="0"/>
        <v>0</v>
      </c>
    </row>
    <row r="21" spans="1:13" s="24" customFormat="1" ht="15.75" customHeight="1">
      <c r="A21" s="24" t="s">
        <v>272</v>
      </c>
      <c r="B21" s="25"/>
      <c r="C21" s="25"/>
      <c r="D21" s="96"/>
      <c r="E21" s="96"/>
      <c r="F21" s="96"/>
      <c r="G21" s="96"/>
      <c r="H21" s="96"/>
      <c r="I21" s="25"/>
      <c r="J21" s="25"/>
      <c r="K21" s="25"/>
      <c r="L21" s="25"/>
      <c r="M21" s="25">
        <f t="shared" si="0"/>
        <v>0</v>
      </c>
    </row>
    <row r="22" spans="1:13" s="24" customFormat="1" ht="15.75" customHeight="1">
      <c r="A22" s="24" t="s">
        <v>271</v>
      </c>
      <c r="B22" s="25"/>
      <c r="C22" s="25"/>
      <c r="D22" s="96"/>
      <c r="E22" s="96"/>
      <c r="F22" s="96"/>
      <c r="G22" s="96"/>
      <c r="H22" s="96"/>
      <c r="I22" s="25"/>
      <c r="J22" s="25"/>
      <c r="K22" s="25"/>
      <c r="L22" s="25"/>
      <c r="M22" s="25">
        <f t="shared" si="0"/>
        <v>0</v>
      </c>
    </row>
    <row r="23" spans="1:13" s="24" customFormat="1" ht="15.75" customHeight="1">
      <c r="A23" s="24" t="s">
        <v>1</v>
      </c>
      <c r="B23" s="25"/>
      <c r="C23" s="25"/>
      <c r="D23" s="96"/>
      <c r="E23" s="96"/>
      <c r="F23" s="96"/>
      <c r="G23" s="96"/>
      <c r="H23" s="96"/>
      <c r="I23" s="25"/>
      <c r="J23" s="25"/>
      <c r="K23" s="25"/>
      <c r="L23" s="25"/>
      <c r="M23" s="25">
        <f t="shared" si="0"/>
        <v>0</v>
      </c>
    </row>
    <row r="24" spans="1:13" s="24" customFormat="1" ht="15.75" customHeight="1">
      <c r="A24" s="24" t="s">
        <v>123</v>
      </c>
      <c r="B24" s="25"/>
      <c r="C24" s="25"/>
      <c r="D24" s="96"/>
      <c r="E24" s="96"/>
      <c r="F24" s="96"/>
      <c r="G24" s="96"/>
      <c r="H24" s="96"/>
      <c r="I24" s="25"/>
      <c r="J24" s="25"/>
      <c r="K24" s="25"/>
      <c r="L24" s="25"/>
      <c r="M24" s="25">
        <f t="shared" si="0"/>
        <v>0</v>
      </c>
    </row>
    <row r="25" spans="1:13" s="24" customFormat="1" ht="15.75" customHeight="1">
      <c r="A25" s="24" t="s">
        <v>355</v>
      </c>
      <c r="B25" s="25"/>
      <c r="C25" s="25"/>
      <c r="D25" s="96"/>
      <c r="E25" s="96"/>
      <c r="F25" s="96"/>
      <c r="G25" s="96"/>
      <c r="H25" s="96"/>
      <c r="I25" s="25"/>
      <c r="J25" s="25"/>
      <c r="K25" s="25"/>
      <c r="L25" s="25"/>
      <c r="M25" s="25">
        <f t="shared" si="0"/>
        <v>0</v>
      </c>
    </row>
    <row r="26" spans="1:13" s="24" customFormat="1" ht="15.75" customHeight="1">
      <c r="A26" s="24" t="s">
        <v>120</v>
      </c>
      <c r="B26" s="25"/>
      <c r="C26" s="25"/>
      <c r="D26" s="96"/>
      <c r="E26" s="96"/>
      <c r="F26" s="96"/>
      <c r="G26" s="96"/>
      <c r="H26" s="96"/>
      <c r="I26" s="25"/>
      <c r="J26" s="25"/>
      <c r="K26" s="25"/>
      <c r="L26" s="25"/>
      <c r="M26" s="25">
        <f t="shared" si="0"/>
        <v>0</v>
      </c>
    </row>
    <row r="27" spans="1:13" s="24" customFormat="1" ht="15.75" customHeight="1">
      <c r="A27" s="24" t="s">
        <v>121</v>
      </c>
      <c r="B27" s="25"/>
      <c r="C27" s="25"/>
      <c r="D27" s="96"/>
      <c r="E27" s="96"/>
      <c r="F27" s="96"/>
      <c r="G27" s="96"/>
      <c r="H27" s="96"/>
      <c r="I27" s="25"/>
      <c r="J27" s="25"/>
      <c r="K27" s="25"/>
      <c r="L27" s="25"/>
      <c r="M27" s="25">
        <f t="shared" si="0"/>
        <v>0</v>
      </c>
    </row>
    <row r="28" spans="1:13" s="24" customFormat="1" ht="15.75" customHeight="1">
      <c r="A28" s="24" t="s">
        <v>122</v>
      </c>
      <c r="B28" s="25"/>
      <c r="C28" s="25"/>
      <c r="D28" s="96"/>
      <c r="E28" s="96"/>
      <c r="F28" s="96"/>
      <c r="G28" s="96"/>
      <c r="H28" s="96"/>
      <c r="I28" s="25"/>
      <c r="J28" s="25"/>
      <c r="K28" s="25"/>
      <c r="L28" s="25"/>
      <c r="M28" s="25">
        <f t="shared" si="0"/>
        <v>0</v>
      </c>
    </row>
    <row r="29" spans="1:13" s="24" customFormat="1" ht="15.75" customHeight="1">
      <c r="A29" s="24" t="s">
        <v>570</v>
      </c>
      <c r="B29" s="25"/>
      <c r="C29" s="25"/>
      <c r="D29" s="96"/>
      <c r="E29" s="96"/>
      <c r="F29" s="96"/>
      <c r="G29" s="96"/>
      <c r="H29" s="96"/>
      <c r="I29" s="25"/>
      <c r="J29" s="25"/>
      <c r="K29" s="25"/>
      <c r="L29" s="25"/>
      <c r="M29" s="25">
        <f t="shared" si="0"/>
        <v>0</v>
      </c>
    </row>
    <row r="30" spans="1:13" s="24" customFormat="1" ht="15.75" customHeight="1">
      <c r="A30" s="24" t="s">
        <v>569</v>
      </c>
      <c r="B30" s="25"/>
      <c r="C30" s="25"/>
      <c r="D30" s="96"/>
      <c r="E30" s="96"/>
      <c r="F30" s="96"/>
      <c r="G30" s="96"/>
      <c r="H30" s="96"/>
      <c r="I30" s="25"/>
      <c r="J30" s="25"/>
      <c r="K30" s="25"/>
      <c r="L30" s="25"/>
      <c r="M30" s="25">
        <f t="shared" si="0"/>
        <v>0</v>
      </c>
    </row>
    <row r="31" spans="1:13" s="24" customFormat="1" ht="15.75" customHeight="1">
      <c r="A31" s="24" t="s">
        <v>274</v>
      </c>
      <c r="B31" s="25"/>
      <c r="C31" s="25"/>
      <c r="D31" s="96"/>
      <c r="E31" s="96"/>
      <c r="F31" s="96"/>
      <c r="G31" s="96"/>
      <c r="H31" s="96"/>
      <c r="I31" s="25"/>
      <c r="J31" s="25"/>
      <c r="K31" s="25"/>
      <c r="L31" s="25"/>
      <c r="M31" s="25">
        <f t="shared" si="0"/>
        <v>0</v>
      </c>
    </row>
    <row r="32" spans="1:13" s="24" customFormat="1" ht="15.75" customHeight="1">
      <c r="A32" s="24" t="s">
        <v>372</v>
      </c>
      <c r="B32" s="25"/>
      <c r="C32" s="25"/>
      <c r="D32" s="96"/>
      <c r="E32" s="96"/>
      <c r="F32" s="96"/>
      <c r="G32" s="96"/>
      <c r="H32" s="96"/>
      <c r="I32" s="25"/>
      <c r="J32" s="25"/>
      <c r="K32" s="25"/>
      <c r="L32" s="25"/>
      <c r="M32" s="25">
        <f t="shared" si="0"/>
        <v>0</v>
      </c>
    </row>
    <row r="33" spans="1:13" s="24" customFormat="1" ht="15.75" customHeight="1">
      <c r="A33" s="24" t="s">
        <v>273</v>
      </c>
      <c r="B33" s="25">
        <v>-57.88</v>
      </c>
      <c r="C33" s="25"/>
      <c r="D33" s="96"/>
      <c r="E33" s="96"/>
      <c r="F33" s="96"/>
      <c r="G33" s="96"/>
      <c r="H33" s="96"/>
      <c r="I33" s="25"/>
      <c r="J33" s="25"/>
      <c r="K33" s="25"/>
      <c r="L33" s="25"/>
      <c r="M33" s="25">
        <f t="shared" si="0"/>
        <v>-57.88</v>
      </c>
    </row>
    <row r="34" spans="1:13" s="24" customFormat="1" ht="15.75" customHeight="1">
      <c r="A34" s="24" t="s">
        <v>577</v>
      </c>
      <c r="B34" s="25"/>
      <c r="C34" s="25"/>
      <c r="D34" s="96"/>
      <c r="E34" s="96"/>
      <c r="F34" s="96"/>
      <c r="G34" s="96"/>
      <c r="H34" s="96"/>
      <c r="I34" s="25"/>
      <c r="J34" s="25"/>
      <c r="K34" s="25"/>
      <c r="L34" s="25"/>
      <c r="M34" s="25">
        <f t="shared" si="0"/>
        <v>0</v>
      </c>
    </row>
    <row r="35" spans="1:13" s="24" customFormat="1" ht="15.75" customHeight="1">
      <c r="A35" s="24" t="s">
        <v>578</v>
      </c>
      <c r="B35" s="25"/>
      <c r="C35" s="25"/>
      <c r="D35" s="96"/>
      <c r="E35" s="96"/>
      <c r="F35" s="96"/>
      <c r="G35" s="96"/>
      <c r="H35" s="96"/>
      <c r="I35" s="25"/>
      <c r="J35" s="25"/>
      <c r="K35" s="25"/>
      <c r="L35" s="25"/>
      <c r="M35" s="25">
        <f t="shared" si="0"/>
        <v>0</v>
      </c>
    </row>
    <row r="36" spans="1:13" s="24" customFormat="1" ht="15.75" customHeight="1">
      <c r="A36" s="24" t="s">
        <v>222</v>
      </c>
      <c r="B36" s="25"/>
      <c r="C36" s="25"/>
      <c r="D36" s="96"/>
      <c r="E36" s="96"/>
      <c r="F36" s="96"/>
      <c r="G36" s="96"/>
      <c r="H36" s="96"/>
      <c r="I36" s="25"/>
      <c r="J36" s="25"/>
      <c r="K36" s="25"/>
      <c r="L36" s="25"/>
      <c r="M36" s="25">
        <f t="shared" si="0"/>
        <v>0</v>
      </c>
    </row>
    <row r="37" spans="1:13" s="24" customFormat="1" ht="15.75" customHeight="1">
      <c r="A37" s="24" t="s">
        <v>275</v>
      </c>
      <c r="B37" s="25"/>
      <c r="C37" s="25"/>
      <c r="D37" s="96"/>
      <c r="E37" s="96"/>
      <c r="F37" s="96"/>
      <c r="G37" s="96"/>
      <c r="H37" s="96"/>
      <c r="I37" s="25"/>
      <c r="J37" s="25"/>
      <c r="K37" s="25"/>
      <c r="L37" s="25"/>
      <c r="M37" s="25">
        <f t="shared" si="0"/>
        <v>0</v>
      </c>
    </row>
    <row r="38" spans="1:13" s="24" customFormat="1" ht="15.75" customHeight="1">
      <c r="A38" s="24" t="s">
        <v>5</v>
      </c>
      <c r="B38" s="26"/>
      <c r="C38" s="26"/>
      <c r="D38" s="157"/>
      <c r="E38" s="157"/>
      <c r="F38" s="157"/>
      <c r="G38" s="157"/>
      <c r="H38" s="157"/>
      <c r="I38" s="26"/>
      <c r="J38" s="26"/>
      <c r="K38" s="26"/>
      <c r="L38" s="25"/>
      <c r="M38" s="25">
        <f t="shared" si="0"/>
        <v>0</v>
      </c>
    </row>
    <row r="39" spans="1:13" s="24" customFormat="1" ht="15.75" customHeight="1">
      <c r="A39" s="24" t="s">
        <v>277</v>
      </c>
      <c r="B39" s="27"/>
      <c r="C39" s="27"/>
      <c r="D39" s="158"/>
      <c r="E39" s="158"/>
      <c r="F39" s="158"/>
      <c r="G39" s="158"/>
      <c r="H39" s="158"/>
      <c r="I39" s="27"/>
      <c r="J39" s="27"/>
      <c r="K39" s="27"/>
      <c r="L39" s="27"/>
      <c r="M39" s="27">
        <f t="shared" si="0"/>
        <v>0</v>
      </c>
    </row>
    <row r="40" spans="1:13" s="24" customFormat="1" ht="15.75" customHeight="1" thickBot="1">
      <c r="A40" s="24" t="s">
        <v>278</v>
      </c>
      <c r="B40" s="28">
        <f>SUM(B8:B39)</f>
        <v>0</v>
      </c>
      <c r="C40" s="28"/>
      <c r="D40" s="159">
        <f>SUM(D8:D39)</f>
        <v>61280.95</v>
      </c>
      <c r="E40" s="159"/>
      <c r="F40" s="159">
        <f>SUM(F8:F39)</f>
        <v>4121238.15</v>
      </c>
      <c r="G40" s="159"/>
      <c r="H40" s="159">
        <f>SUM(H8:H39)</f>
        <v>693447.09</v>
      </c>
      <c r="I40" s="28"/>
      <c r="J40" s="28"/>
      <c r="K40" s="28"/>
      <c r="L40" s="28"/>
      <c r="M40" s="28">
        <f t="shared" si="0"/>
        <v>4875966.1900000004</v>
      </c>
    </row>
    <row r="41" spans="1:13" s="24" customFormat="1" ht="15.75" customHeight="1" thickTop="1">
      <c r="B41" s="25"/>
      <c r="C41" s="25"/>
      <c r="D41" s="96"/>
      <c r="E41" s="96"/>
      <c r="F41" s="96"/>
      <c r="G41" s="96"/>
      <c r="H41" s="96"/>
      <c r="I41" s="25"/>
      <c r="J41" s="25"/>
      <c r="K41" s="25"/>
      <c r="L41" s="25"/>
      <c r="M41" s="25"/>
    </row>
    <row r="42" spans="1:13" s="24" customFormat="1" ht="15.75" customHeight="1">
      <c r="A42" s="46" t="s">
        <v>279</v>
      </c>
      <c r="B42" s="25"/>
      <c r="C42" s="25"/>
      <c r="D42" s="96"/>
      <c r="E42" s="96"/>
      <c r="F42" s="96"/>
      <c r="G42" s="96"/>
      <c r="H42" s="96"/>
      <c r="I42" s="25"/>
      <c r="J42" s="25"/>
      <c r="K42" s="25"/>
      <c r="L42" s="25"/>
      <c r="M42" s="25"/>
    </row>
    <row r="43" spans="1:13" s="24" customFormat="1" ht="15.75" customHeight="1">
      <c r="A43" s="24" t="s">
        <v>224</v>
      </c>
      <c r="B43" s="25">
        <v>0</v>
      </c>
      <c r="C43" s="25"/>
      <c r="D43" s="96">
        <v>0</v>
      </c>
      <c r="E43" s="96"/>
      <c r="F43" s="96">
        <v>374768.78</v>
      </c>
      <c r="G43" s="96"/>
      <c r="H43" s="96">
        <v>0</v>
      </c>
      <c r="I43" s="25"/>
      <c r="J43" s="25"/>
      <c r="K43" s="25"/>
      <c r="L43" s="25"/>
      <c r="M43" s="25">
        <f t="shared" ref="M43:M52" si="1">SUM(B43:K43)</f>
        <v>374768.78</v>
      </c>
    </row>
    <row r="44" spans="1:13" s="24" customFormat="1" ht="15.75" customHeight="1">
      <c r="A44" s="24" t="s">
        <v>335</v>
      </c>
      <c r="B44" s="25"/>
      <c r="C44" s="25"/>
      <c r="D44" s="96"/>
      <c r="E44" s="96"/>
      <c r="F44" s="96"/>
      <c r="G44" s="96"/>
      <c r="H44" s="96"/>
      <c r="I44" s="25"/>
      <c r="J44" s="25"/>
      <c r="K44" s="25"/>
      <c r="L44" s="25"/>
      <c r="M44" s="25">
        <f t="shared" si="1"/>
        <v>0</v>
      </c>
    </row>
    <row r="45" spans="1:13" s="24" customFormat="1" ht="15.75" customHeight="1">
      <c r="A45" s="24" t="s">
        <v>84</v>
      </c>
      <c r="B45" s="25">
        <v>0</v>
      </c>
      <c r="C45" s="25"/>
      <c r="D45" s="96">
        <v>0</v>
      </c>
      <c r="E45" s="96"/>
      <c r="F45" s="96">
        <v>427112</v>
      </c>
      <c r="G45" s="96"/>
      <c r="H45" s="96"/>
      <c r="I45" s="25"/>
      <c r="J45" s="25"/>
      <c r="K45" s="25"/>
      <c r="L45" s="25"/>
      <c r="M45" s="25">
        <f t="shared" si="1"/>
        <v>427112</v>
      </c>
    </row>
    <row r="46" spans="1:13" s="24" customFormat="1" ht="15.75" customHeight="1">
      <c r="A46" s="24" t="s">
        <v>88</v>
      </c>
      <c r="B46" s="25"/>
      <c r="C46" s="25"/>
      <c r="D46" s="96"/>
      <c r="E46" s="96"/>
      <c r="F46" s="96"/>
      <c r="G46" s="96"/>
      <c r="H46" s="96"/>
      <c r="I46" s="25"/>
      <c r="J46" s="25"/>
      <c r="K46" s="25"/>
      <c r="L46" s="25"/>
      <c r="M46" s="25">
        <f t="shared" si="1"/>
        <v>0</v>
      </c>
    </row>
    <row r="47" spans="1:13" s="24" customFormat="1" ht="15.75" customHeight="1">
      <c r="A47" s="24" t="s">
        <v>85</v>
      </c>
      <c r="B47" s="25"/>
      <c r="C47" s="25"/>
      <c r="D47" s="96"/>
      <c r="E47" s="96"/>
      <c r="F47" s="96"/>
      <c r="G47" s="96"/>
      <c r="H47" s="96"/>
      <c r="I47" s="25"/>
      <c r="J47" s="25"/>
      <c r="K47" s="25"/>
      <c r="L47" s="25"/>
      <c r="M47" s="25">
        <f t="shared" si="1"/>
        <v>0</v>
      </c>
    </row>
    <row r="48" spans="1:13" s="24" customFormat="1" ht="15.75" customHeight="1">
      <c r="A48" s="24" t="s">
        <v>304</v>
      </c>
      <c r="B48" s="25"/>
      <c r="C48" s="25"/>
      <c r="D48" s="96"/>
      <c r="E48" s="96"/>
      <c r="F48" s="96"/>
      <c r="G48" s="96"/>
      <c r="H48" s="96"/>
      <c r="I48" s="25"/>
      <c r="J48" s="25"/>
      <c r="K48" s="25"/>
      <c r="L48" s="25"/>
      <c r="M48" s="25">
        <f t="shared" si="1"/>
        <v>0</v>
      </c>
    </row>
    <row r="49" spans="1:13" s="24" customFormat="1" ht="15.75" customHeight="1">
      <c r="A49" s="24" t="s">
        <v>280</v>
      </c>
      <c r="B49" s="26">
        <v>-57.88</v>
      </c>
      <c r="C49" s="25"/>
      <c r="D49" s="96"/>
      <c r="E49" s="96"/>
      <c r="F49" s="96"/>
      <c r="G49" s="96"/>
      <c r="H49" s="96"/>
      <c r="I49" s="25"/>
      <c r="J49" s="25"/>
      <c r="K49" s="25"/>
      <c r="L49" s="25"/>
      <c r="M49" s="25">
        <f t="shared" si="1"/>
        <v>-57.88</v>
      </c>
    </row>
    <row r="50" spans="1:13" s="24" customFormat="1" ht="15.75" customHeight="1">
      <c r="A50" s="24" t="s">
        <v>584</v>
      </c>
      <c r="B50" s="26"/>
      <c r="C50" s="25"/>
      <c r="D50" s="96"/>
      <c r="E50" s="96"/>
      <c r="F50" s="96"/>
      <c r="G50" s="96"/>
      <c r="H50" s="96"/>
      <c r="I50" s="25"/>
      <c r="J50" s="25"/>
      <c r="K50" s="25"/>
      <c r="L50" s="25"/>
      <c r="M50" s="25">
        <f t="shared" si="1"/>
        <v>0</v>
      </c>
    </row>
    <row r="51" spans="1:13" s="24" customFormat="1" ht="15.75" customHeight="1">
      <c r="A51" s="24" t="s">
        <v>746</v>
      </c>
      <c r="B51" s="26"/>
      <c r="C51" s="26"/>
      <c r="D51" s="157">
        <v>0</v>
      </c>
      <c r="E51" s="157"/>
      <c r="F51" s="157">
        <v>5659000</v>
      </c>
      <c r="G51" s="157"/>
      <c r="H51" s="157">
        <v>0</v>
      </c>
      <c r="I51" s="26"/>
      <c r="J51" s="26"/>
      <c r="K51" s="26"/>
      <c r="L51" s="25"/>
      <c r="M51" s="25">
        <f t="shared" si="1"/>
        <v>5659000</v>
      </c>
    </row>
    <row r="52" spans="1:13" s="24" customFormat="1" ht="15.75" customHeight="1">
      <c r="A52" s="24" t="s">
        <v>282</v>
      </c>
      <c r="B52" s="90">
        <f>SUM(B43:B51)</f>
        <v>-57.88</v>
      </c>
      <c r="C52" s="90"/>
      <c r="D52" s="160">
        <f>SUM(D43:D51)</f>
        <v>0</v>
      </c>
      <c r="E52" s="160"/>
      <c r="F52" s="160">
        <f>SUM(F43:F51)</f>
        <v>6460880.7800000003</v>
      </c>
      <c r="G52" s="160"/>
      <c r="H52" s="160">
        <f>SUM(H43:H51)</f>
        <v>0</v>
      </c>
      <c r="I52" s="90"/>
      <c r="J52" s="90"/>
      <c r="K52" s="90"/>
      <c r="L52" s="90"/>
      <c r="M52" s="90">
        <f t="shared" si="1"/>
        <v>6460822.9000000004</v>
      </c>
    </row>
    <row r="53" spans="1:13" s="24" customFormat="1" ht="15.75" customHeight="1">
      <c r="B53" s="25"/>
      <c r="C53" s="25"/>
      <c r="D53" s="96"/>
      <c r="E53" s="96"/>
      <c r="F53" s="96"/>
      <c r="G53" s="96"/>
      <c r="H53" s="96"/>
      <c r="I53" s="25"/>
      <c r="J53" s="25"/>
      <c r="K53" s="25"/>
      <c r="L53" s="25"/>
      <c r="M53" s="25"/>
    </row>
    <row r="54" spans="1:13" s="24" customFormat="1" ht="15.75" customHeight="1">
      <c r="B54" s="25"/>
      <c r="C54" s="25"/>
      <c r="D54" s="96"/>
      <c r="E54" s="96"/>
      <c r="F54" s="96"/>
      <c r="G54" s="96"/>
      <c r="H54" s="96"/>
      <c r="I54" s="25"/>
      <c r="J54" s="25"/>
      <c r="K54" s="25"/>
      <c r="L54" s="25"/>
      <c r="M54" s="25"/>
    </row>
    <row r="55" spans="1:13" s="24" customFormat="1" ht="15.75" customHeight="1">
      <c r="A55" s="46" t="s">
        <v>283</v>
      </c>
      <c r="B55" s="25"/>
      <c r="C55" s="25"/>
      <c r="D55" s="96"/>
      <c r="E55" s="96"/>
      <c r="F55" s="96"/>
      <c r="G55" s="96"/>
      <c r="H55" s="96"/>
      <c r="I55" s="25"/>
      <c r="J55" s="25"/>
      <c r="K55" s="25"/>
      <c r="L55" s="25"/>
      <c r="M55" s="25"/>
    </row>
    <row r="56" spans="1:13" s="24" customFormat="1" ht="15.75" customHeight="1">
      <c r="A56" s="24" t="s">
        <v>86</v>
      </c>
      <c r="B56" s="25"/>
      <c r="C56" s="25"/>
      <c r="D56" s="96"/>
      <c r="E56" s="96"/>
      <c r="F56" s="96"/>
      <c r="G56" s="96"/>
      <c r="H56" s="96"/>
      <c r="I56" s="25"/>
      <c r="J56" s="25"/>
      <c r="K56" s="25"/>
      <c r="L56" s="25"/>
      <c r="M56" s="96">
        <f t="shared" ref="M56:M66" si="2">SUM(B56:K56)</f>
        <v>0</v>
      </c>
    </row>
    <row r="57" spans="1:13" s="24" customFormat="1" ht="15.75" customHeight="1">
      <c r="A57" s="24" t="s">
        <v>87</v>
      </c>
      <c r="B57" s="25"/>
      <c r="C57" s="25"/>
      <c r="D57" s="96"/>
      <c r="E57" s="96"/>
      <c r="F57" s="96"/>
      <c r="G57" s="96"/>
      <c r="H57" s="96"/>
      <c r="I57" s="25"/>
      <c r="J57" s="25"/>
      <c r="K57" s="25"/>
      <c r="L57" s="25"/>
      <c r="M57" s="96">
        <f t="shared" si="2"/>
        <v>0</v>
      </c>
    </row>
    <row r="58" spans="1:13" s="24" customFormat="1" ht="15.75" customHeight="1">
      <c r="A58" s="24" t="s">
        <v>4</v>
      </c>
      <c r="B58" s="25"/>
      <c r="C58" s="25"/>
      <c r="D58" s="96"/>
      <c r="E58" s="96"/>
      <c r="F58" s="96"/>
      <c r="G58" s="96"/>
      <c r="H58" s="96"/>
      <c r="I58" s="25"/>
      <c r="J58" s="25"/>
      <c r="K58" s="25"/>
      <c r="L58" s="25"/>
      <c r="M58" s="96">
        <f t="shared" si="2"/>
        <v>0</v>
      </c>
    </row>
    <row r="59" spans="1:13" s="24" customFormat="1" ht="15.75" customHeight="1">
      <c r="A59" s="24" t="s">
        <v>580</v>
      </c>
      <c r="B59" s="25"/>
      <c r="C59" s="25"/>
      <c r="D59" s="96"/>
      <c r="E59" s="96"/>
      <c r="F59" s="96"/>
      <c r="G59" s="96"/>
      <c r="H59" s="96"/>
      <c r="I59" s="25"/>
      <c r="J59" s="25"/>
      <c r="K59" s="25"/>
      <c r="L59" s="25"/>
      <c r="M59" s="96">
        <f t="shared" si="2"/>
        <v>0</v>
      </c>
    </row>
    <row r="60" spans="1:13" s="24" customFormat="1" ht="15.75" customHeight="1">
      <c r="A60" s="24" t="s">
        <v>581</v>
      </c>
      <c r="B60" s="25"/>
      <c r="C60" s="25"/>
      <c r="D60" s="96"/>
      <c r="E60" s="96"/>
      <c r="F60" s="96"/>
      <c r="G60" s="96"/>
      <c r="H60" s="96"/>
      <c r="I60" s="25"/>
      <c r="J60" s="25"/>
      <c r="K60" s="25"/>
      <c r="L60" s="25"/>
      <c r="M60" s="96">
        <f t="shared" si="2"/>
        <v>0</v>
      </c>
    </row>
    <row r="61" spans="1:13" s="24" customFormat="1" ht="15.75" customHeight="1">
      <c r="A61" s="24" t="s">
        <v>582</v>
      </c>
      <c r="B61" s="25"/>
      <c r="C61" s="25"/>
      <c r="D61" s="96"/>
      <c r="E61" s="96"/>
      <c r="F61" s="96"/>
      <c r="G61" s="96"/>
      <c r="H61" s="96"/>
      <c r="I61" s="25"/>
      <c r="J61" s="25"/>
      <c r="K61" s="25"/>
      <c r="L61" s="25"/>
      <c r="M61" s="96">
        <f t="shared" si="2"/>
        <v>0</v>
      </c>
    </row>
    <row r="62" spans="1:13" s="24" customFormat="1" ht="15.75" customHeight="1">
      <c r="A62" s="24" t="s">
        <v>583</v>
      </c>
      <c r="B62" s="25"/>
      <c r="C62" s="25"/>
      <c r="D62" s="96"/>
      <c r="E62" s="96"/>
      <c r="F62" s="96"/>
      <c r="G62" s="96"/>
      <c r="H62" s="96"/>
      <c r="I62" s="25"/>
      <c r="J62" s="25"/>
      <c r="K62" s="25"/>
      <c r="L62" s="25"/>
      <c r="M62" s="96">
        <f t="shared" si="2"/>
        <v>0</v>
      </c>
    </row>
    <row r="63" spans="1:13" s="24" customFormat="1" ht="15.75" customHeight="1">
      <c r="A63" s="24" t="s">
        <v>579</v>
      </c>
      <c r="B63" s="25"/>
      <c r="C63" s="25"/>
      <c r="D63" s="96"/>
      <c r="E63" s="96"/>
      <c r="F63" s="96"/>
      <c r="G63" s="96"/>
      <c r="H63" s="96"/>
      <c r="I63" s="25"/>
      <c r="J63" s="25"/>
      <c r="K63" s="25"/>
      <c r="L63" s="25"/>
      <c r="M63" s="96">
        <f t="shared" si="2"/>
        <v>0</v>
      </c>
    </row>
    <row r="64" spans="1:13" ht="15.75" customHeight="1">
      <c r="A64" s="24" t="s">
        <v>3</v>
      </c>
      <c r="B64" s="25"/>
      <c r="C64" s="25"/>
      <c r="D64" s="96"/>
      <c r="E64" s="96"/>
      <c r="F64" s="96"/>
      <c r="G64" s="96"/>
      <c r="H64" s="96"/>
      <c r="I64" s="25"/>
      <c r="J64" s="25"/>
      <c r="K64" s="25"/>
      <c r="L64" s="25"/>
      <c r="M64" s="25">
        <f t="shared" si="2"/>
        <v>0</v>
      </c>
    </row>
    <row r="65" spans="1:13" s="24" customFormat="1" ht="15.75" customHeight="1">
      <c r="A65" s="24" t="s">
        <v>574</v>
      </c>
      <c r="B65" s="27">
        <f>-354850.45+877249.52-522341.19</f>
        <v>57.880000000004657</v>
      </c>
      <c r="C65" s="27"/>
      <c r="D65" s="158">
        <v>61280.95</v>
      </c>
      <c r="E65" s="158"/>
      <c r="F65" s="158">
        <f>-3109114.49+769835.86-364</f>
        <v>-2339642.6300000004</v>
      </c>
      <c r="G65" s="158"/>
      <c r="H65" s="158">
        <f>67405.41-45006.09+731884.96-60837.19</f>
        <v>693447.09000000008</v>
      </c>
      <c r="I65" s="27"/>
      <c r="J65" s="27"/>
      <c r="K65" s="27"/>
      <c r="L65" s="27"/>
      <c r="M65" s="27">
        <f t="shared" si="2"/>
        <v>-1584856.7100000002</v>
      </c>
    </row>
    <row r="66" spans="1:13" s="24" customFormat="1" ht="15.75" customHeight="1">
      <c r="A66" s="24" t="s">
        <v>284</v>
      </c>
      <c r="B66" s="25">
        <f>SUM(B56:B65)</f>
        <v>57.880000000004657</v>
      </c>
      <c r="C66" s="25"/>
      <c r="D66" s="96">
        <f>SUM(D56:D65)</f>
        <v>61280.95</v>
      </c>
      <c r="E66" s="96"/>
      <c r="F66" s="96">
        <f>SUM(F56:F65)</f>
        <v>-2339642.6300000004</v>
      </c>
      <c r="G66" s="96"/>
      <c r="H66" s="96">
        <f>SUM(H56:H65)</f>
        <v>693447.09000000008</v>
      </c>
      <c r="I66" s="25"/>
      <c r="J66" s="25"/>
      <c r="K66" s="25"/>
      <c r="L66" s="25"/>
      <c r="M66" s="25">
        <f t="shared" si="2"/>
        <v>-1584856.7100000002</v>
      </c>
    </row>
    <row r="67" spans="1:13" s="24" customFormat="1" ht="15.75" customHeight="1">
      <c r="B67" s="25"/>
      <c r="C67" s="25"/>
      <c r="D67" s="96"/>
      <c r="E67" s="96"/>
      <c r="F67" s="96"/>
      <c r="G67" s="96"/>
      <c r="H67" s="96"/>
      <c r="I67" s="25"/>
      <c r="J67" s="25"/>
      <c r="K67" s="25"/>
      <c r="L67" s="25"/>
      <c r="M67" s="25"/>
    </row>
    <row r="68" spans="1:13" s="24" customFormat="1" ht="15.75" customHeight="1" thickBot="1">
      <c r="A68" s="24" t="s">
        <v>285</v>
      </c>
      <c r="B68" s="28">
        <f>B52+B66</f>
        <v>4.6540549192286562E-12</v>
      </c>
      <c r="C68" s="28"/>
      <c r="D68" s="159">
        <f>D52+D66</f>
        <v>61280.95</v>
      </c>
      <c r="E68" s="159"/>
      <c r="F68" s="159">
        <f>F52+F66</f>
        <v>4121238.15</v>
      </c>
      <c r="G68" s="159"/>
      <c r="H68" s="159">
        <f>H52+H66</f>
        <v>693447.09000000008</v>
      </c>
      <c r="I68" s="28"/>
      <c r="J68" s="28"/>
      <c r="K68" s="28"/>
      <c r="L68" s="28"/>
      <c r="M68" s="28">
        <f>SUM(B68:K68)</f>
        <v>4875966.1900000004</v>
      </c>
    </row>
    <row r="69" spans="1:13" ht="15.75" customHeight="1" thickTop="1">
      <c r="B69" s="77"/>
    </row>
    <row r="79" spans="1:13" ht="12" customHeight="1">
      <c r="A79" s="215" t="s">
        <v>571</v>
      </c>
    </row>
    <row r="80" spans="1:13" ht="15.75" customHeight="1">
      <c r="A80" s="215" t="s">
        <v>572</v>
      </c>
    </row>
    <row r="81" spans="1:1" ht="15.75" customHeight="1">
      <c r="A81" s="215" t="s">
        <v>573</v>
      </c>
    </row>
  </sheetData>
  <mergeCells count="6">
    <mergeCell ref="A1:K1"/>
    <mergeCell ref="L1:M1"/>
    <mergeCell ref="A2:K2"/>
    <mergeCell ref="L2:M2"/>
    <mergeCell ref="A3:K3"/>
    <mergeCell ref="L3:M3"/>
  </mergeCells>
  <pageMargins left="0.7" right="0.7" top="0.75" bottom="0.75" header="0.3" footer="0.3"/>
  <pageSetup scale="4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N82"/>
  <sheetViews>
    <sheetView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H50" sqref="H50"/>
    </sheetView>
  </sheetViews>
  <sheetFormatPr defaultColWidth="7.109375" defaultRowHeight="15.75" customHeight="1"/>
  <cols>
    <col min="1" max="1" width="42.77734375" style="43" customWidth="1"/>
    <col min="2" max="2" width="17.77734375" style="161" customWidth="1"/>
    <col min="3" max="3" width="2.88671875" style="43" customWidth="1"/>
    <col min="4" max="4" width="17.77734375" style="161" customWidth="1"/>
    <col min="5" max="5" width="2.88671875" style="43" customWidth="1"/>
    <col min="6" max="6" width="17.77734375" style="161" customWidth="1"/>
    <col min="7" max="7" width="2.88671875" style="43" customWidth="1"/>
    <col min="8" max="8" width="17.77734375" style="161" customWidth="1"/>
    <col min="9" max="9" width="2.88671875" style="43" customWidth="1"/>
    <col min="10" max="10" width="17.77734375" style="161" customWidth="1"/>
    <col min="11" max="11" width="2.88671875" style="43" customWidth="1"/>
    <col min="12" max="12" width="17.77734375" style="43" customWidth="1"/>
    <col min="13" max="16384" width="7.109375" style="43"/>
  </cols>
  <sheetData>
    <row r="1" spans="1:14" ht="15.75" customHeight="1">
      <c r="A1" s="257" t="s">
        <v>46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20"/>
      <c r="N1" s="220"/>
    </row>
    <row r="2" spans="1:14" ht="15.75" customHeight="1">
      <c r="A2" s="257" t="s">
        <v>654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20"/>
      <c r="N2" s="220"/>
    </row>
    <row r="3" spans="1:14" ht="15.75" customHeight="1">
      <c r="A3" s="257" t="s">
        <v>845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20"/>
      <c r="N3" s="220"/>
    </row>
    <row r="4" spans="1:14" ht="15.75" customHeight="1">
      <c r="A4" s="219"/>
      <c r="B4" s="154"/>
      <c r="C4" s="221"/>
      <c r="D4" s="154"/>
      <c r="E4" s="221"/>
      <c r="F4" s="154"/>
      <c r="G4" s="221"/>
      <c r="H4" s="154"/>
      <c r="I4" s="221"/>
      <c r="J4" s="154"/>
      <c r="K4" s="220"/>
      <c r="L4" s="220"/>
      <c r="M4" s="220"/>
      <c r="N4" s="220"/>
    </row>
    <row r="5" spans="1:14" s="24" customFormat="1" ht="15.75" customHeight="1">
      <c r="B5" s="155" t="s">
        <v>655</v>
      </c>
      <c r="D5" s="155" t="s">
        <v>656</v>
      </c>
      <c r="F5" s="155"/>
      <c r="H5" s="155"/>
      <c r="J5" s="155" t="s">
        <v>659</v>
      </c>
    </row>
    <row r="6" spans="1:14" s="24" customFormat="1" ht="15.75" customHeight="1">
      <c r="B6" s="156" t="s">
        <v>2</v>
      </c>
      <c r="D6" s="156" t="s">
        <v>2</v>
      </c>
      <c r="F6" s="156" t="s">
        <v>657</v>
      </c>
      <c r="H6" s="156" t="s">
        <v>42</v>
      </c>
      <c r="J6" s="156" t="s">
        <v>658</v>
      </c>
      <c r="L6" s="45" t="s">
        <v>268</v>
      </c>
    </row>
    <row r="7" spans="1:14" s="24" customFormat="1" ht="15.75" customHeight="1">
      <c r="A7" s="46" t="s">
        <v>269</v>
      </c>
      <c r="B7" s="96"/>
      <c r="C7" s="25"/>
      <c r="D7" s="96"/>
      <c r="E7" s="25"/>
      <c r="F7" s="96"/>
      <c r="G7" s="25"/>
      <c r="H7" s="96"/>
      <c r="I7" s="25"/>
      <c r="J7" s="96"/>
      <c r="K7" s="25"/>
      <c r="L7" s="25"/>
    </row>
    <row r="8" spans="1:14" s="24" customFormat="1" ht="15.75" customHeight="1">
      <c r="A8" s="24" t="s">
        <v>223</v>
      </c>
      <c r="B8" s="96">
        <v>400329.26</v>
      </c>
      <c r="C8" s="25"/>
      <c r="D8" s="96">
        <v>92898.57</v>
      </c>
      <c r="E8" s="25"/>
      <c r="F8" s="96">
        <v>5227749.4400000004</v>
      </c>
      <c r="G8" s="25"/>
      <c r="H8" s="96">
        <v>44416.480000000003</v>
      </c>
      <c r="I8" s="25"/>
      <c r="J8" s="96">
        <v>15601.9</v>
      </c>
      <c r="K8" s="25"/>
      <c r="L8" s="96">
        <f t="shared" ref="L8:L41" si="0">SUM(B8:J8)</f>
        <v>5780995.6500000013</v>
      </c>
    </row>
    <row r="9" spans="1:14" s="24" customFormat="1" ht="15.75" customHeight="1">
      <c r="A9" s="24" t="s">
        <v>801</v>
      </c>
      <c r="B9" s="96"/>
      <c r="C9" s="25"/>
      <c r="D9" s="96"/>
      <c r="E9" s="25"/>
      <c r="F9" s="96">
        <v>0</v>
      </c>
      <c r="G9" s="25"/>
      <c r="H9" s="96"/>
      <c r="I9" s="25"/>
      <c r="J9" s="96"/>
      <c r="K9" s="25"/>
      <c r="L9" s="96">
        <f t="shared" si="0"/>
        <v>0</v>
      </c>
    </row>
    <row r="10" spans="1:14" s="24" customFormat="1" ht="15.75" customHeight="1">
      <c r="A10" s="24" t="s">
        <v>89</v>
      </c>
      <c r="B10" s="96"/>
      <c r="C10" s="25"/>
      <c r="D10" s="96"/>
      <c r="E10" s="25"/>
      <c r="F10" s="96"/>
      <c r="G10" s="25"/>
      <c r="H10" s="96"/>
      <c r="I10" s="25"/>
      <c r="J10" s="96"/>
      <c r="K10" s="25"/>
      <c r="L10" s="25">
        <f t="shared" si="0"/>
        <v>0</v>
      </c>
    </row>
    <row r="11" spans="1:14" s="24" customFormat="1" ht="15.75" customHeight="1">
      <c r="A11" s="24" t="s">
        <v>142</v>
      </c>
      <c r="B11" s="96"/>
      <c r="C11" s="25"/>
      <c r="D11" s="96"/>
      <c r="E11" s="25"/>
      <c r="F11" s="96"/>
      <c r="G11" s="25"/>
      <c r="H11" s="96"/>
      <c r="I11" s="25"/>
      <c r="J11" s="96"/>
      <c r="K11" s="25"/>
      <c r="L11" s="25">
        <f t="shared" si="0"/>
        <v>0</v>
      </c>
    </row>
    <row r="12" spans="1:14" s="24" customFormat="1" ht="15.75" customHeight="1">
      <c r="A12" s="24" t="s">
        <v>383</v>
      </c>
      <c r="B12" s="96"/>
      <c r="C12" s="25"/>
      <c r="D12" s="96"/>
      <c r="E12" s="25"/>
      <c r="F12" s="96"/>
      <c r="G12" s="25"/>
      <c r="H12" s="96"/>
      <c r="I12" s="25"/>
      <c r="J12" s="96"/>
      <c r="K12" s="25"/>
      <c r="L12" s="25">
        <f t="shared" si="0"/>
        <v>0</v>
      </c>
    </row>
    <row r="13" spans="1:14" s="24" customFormat="1" ht="15.75" customHeight="1">
      <c r="A13" s="24" t="s">
        <v>270</v>
      </c>
      <c r="B13" s="96"/>
      <c r="C13" s="25"/>
      <c r="D13" s="96"/>
      <c r="E13" s="25"/>
      <c r="F13" s="96"/>
      <c r="G13" s="25"/>
      <c r="H13" s="96"/>
      <c r="I13" s="25"/>
      <c r="J13" s="96"/>
      <c r="K13" s="25"/>
      <c r="L13" s="25">
        <f t="shared" si="0"/>
        <v>0</v>
      </c>
    </row>
    <row r="14" spans="1:14" s="24" customFormat="1" ht="15.75" customHeight="1">
      <c r="A14" s="24" t="s">
        <v>81</v>
      </c>
      <c r="B14" s="96"/>
      <c r="C14" s="25"/>
      <c r="D14" s="96"/>
      <c r="E14" s="25"/>
      <c r="F14" s="96"/>
      <c r="G14" s="25"/>
      <c r="H14" s="96"/>
      <c r="I14" s="25"/>
      <c r="J14" s="96"/>
      <c r="K14" s="25"/>
      <c r="L14" s="25">
        <f t="shared" si="0"/>
        <v>0</v>
      </c>
    </row>
    <row r="15" spans="1:14" s="24" customFormat="1" ht="15.75" customHeight="1">
      <c r="A15" s="24" t="s">
        <v>90</v>
      </c>
      <c r="B15" s="96"/>
      <c r="C15" s="25"/>
      <c r="D15" s="96"/>
      <c r="E15" s="25"/>
      <c r="F15" s="96"/>
      <c r="G15" s="25"/>
      <c r="H15" s="96"/>
      <c r="I15" s="25"/>
      <c r="J15" s="96"/>
      <c r="K15" s="25"/>
      <c r="L15" s="25">
        <f t="shared" si="0"/>
        <v>0</v>
      </c>
    </row>
    <row r="16" spans="1:14" s="24" customFormat="1" ht="15.75" customHeight="1">
      <c r="A16" s="24" t="s">
        <v>144</v>
      </c>
      <c r="B16" s="96"/>
      <c r="C16" s="25"/>
      <c r="D16" s="96"/>
      <c r="E16" s="25"/>
      <c r="F16" s="96"/>
      <c r="G16" s="25"/>
      <c r="H16" s="96"/>
      <c r="I16" s="25"/>
      <c r="J16" s="96"/>
      <c r="K16" s="25"/>
      <c r="L16" s="25">
        <f t="shared" si="0"/>
        <v>0</v>
      </c>
    </row>
    <row r="17" spans="1:12" s="24" customFormat="1" ht="15.75" customHeight="1">
      <c r="A17" s="24" t="s">
        <v>82</v>
      </c>
      <c r="B17" s="96"/>
      <c r="C17" s="25"/>
      <c r="D17" s="96"/>
      <c r="E17" s="25"/>
      <c r="F17" s="96"/>
      <c r="G17" s="25"/>
      <c r="H17" s="96"/>
      <c r="I17" s="25"/>
      <c r="J17" s="96"/>
      <c r="K17" s="25"/>
      <c r="L17" s="25">
        <f t="shared" si="0"/>
        <v>0</v>
      </c>
    </row>
    <row r="18" spans="1:12" s="24" customFormat="1" ht="15.75" customHeight="1">
      <c r="A18" s="24" t="s">
        <v>83</v>
      </c>
      <c r="B18" s="96"/>
      <c r="C18" s="25"/>
      <c r="D18" s="96"/>
      <c r="E18" s="25"/>
      <c r="F18" s="96"/>
      <c r="G18" s="25"/>
      <c r="H18" s="96"/>
      <c r="I18" s="25"/>
      <c r="J18" s="96"/>
      <c r="K18" s="25"/>
      <c r="L18" s="25">
        <f t="shared" si="0"/>
        <v>0</v>
      </c>
    </row>
    <row r="19" spans="1:12" s="24" customFormat="1" ht="15.75" customHeight="1">
      <c r="A19" s="24" t="s">
        <v>566</v>
      </c>
      <c r="B19" s="96"/>
      <c r="C19" s="25"/>
      <c r="D19" s="96"/>
      <c r="E19" s="25"/>
      <c r="F19" s="96"/>
      <c r="G19" s="25"/>
      <c r="H19" s="96"/>
      <c r="I19" s="25"/>
      <c r="J19" s="96"/>
      <c r="K19" s="25"/>
      <c r="L19" s="25">
        <f t="shared" si="0"/>
        <v>0</v>
      </c>
    </row>
    <row r="20" spans="1:12" s="24" customFormat="1" ht="15.75" customHeight="1">
      <c r="A20" s="24" t="s">
        <v>567</v>
      </c>
      <c r="B20" s="96"/>
      <c r="C20" s="25"/>
      <c r="D20" s="96"/>
      <c r="E20" s="25"/>
      <c r="F20" s="96"/>
      <c r="G20" s="25"/>
      <c r="H20" s="96"/>
      <c r="I20" s="25"/>
      <c r="J20" s="96"/>
      <c r="K20" s="25"/>
      <c r="L20" s="25">
        <f t="shared" si="0"/>
        <v>0</v>
      </c>
    </row>
    <row r="21" spans="1:12" s="24" customFormat="1" ht="15.75" customHeight="1">
      <c r="A21" s="24" t="s">
        <v>568</v>
      </c>
      <c r="B21" s="96"/>
      <c r="C21" s="25"/>
      <c r="D21" s="96"/>
      <c r="E21" s="25"/>
      <c r="F21" s="96"/>
      <c r="G21" s="25"/>
      <c r="H21" s="96"/>
      <c r="I21" s="25"/>
      <c r="J21" s="96"/>
      <c r="K21" s="25"/>
      <c r="L21" s="25">
        <f t="shared" si="0"/>
        <v>0</v>
      </c>
    </row>
    <row r="22" spans="1:12" s="24" customFormat="1" ht="15.75" customHeight="1">
      <c r="A22" s="24" t="s">
        <v>272</v>
      </c>
      <c r="B22" s="96"/>
      <c r="C22" s="25"/>
      <c r="D22" s="96"/>
      <c r="E22" s="25"/>
      <c r="F22" s="96"/>
      <c r="G22" s="25"/>
      <c r="H22" s="96">
        <v>30914.38</v>
      </c>
      <c r="I22" s="25"/>
      <c r="J22" s="96"/>
      <c r="K22" s="25"/>
      <c r="L22" s="25">
        <f t="shared" si="0"/>
        <v>30914.38</v>
      </c>
    </row>
    <row r="23" spans="1:12" s="24" customFormat="1" ht="15.75" customHeight="1">
      <c r="A23" s="24" t="s">
        <v>271</v>
      </c>
      <c r="B23" s="96"/>
      <c r="C23" s="25"/>
      <c r="D23" s="96"/>
      <c r="E23" s="25"/>
      <c r="F23" s="96"/>
      <c r="G23" s="25"/>
      <c r="H23" s="96">
        <v>657.18</v>
      </c>
      <c r="I23" s="25"/>
      <c r="J23" s="96"/>
      <c r="K23" s="25"/>
      <c r="L23" s="25">
        <f t="shared" si="0"/>
        <v>657.18</v>
      </c>
    </row>
    <row r="24" spans="1:12" s="24" customFormat="1" ht="15.75" customHeight="1">
      <c r="A24" s="24" t="s">
        <v>1</v>
      </c>
      <c r="B24" s="96"/>
      <c r="C24" s="25"/>
      <c r="D24" s="96"/>
      <c r="E24" s="25"/>
      <c r="F24" s="96"/>
      <c r="G24" s="25"/>
      <c r="H24" s="96"/>
      <c r="I24" s="25"/>
      <c r="J24" s="96"/>
      <c r="K24" s="25"/>
      <c r="L24" s="25">
        <f t="shared" si="0"/>
        <v>0</v>
      </c>
    </row>
    <row r="25" spans="1:12" s="24" customFormat="1" ht="15.75" customHeight="1">
      <c r="A25" s="24" t="s">
        <v>123</v>
      </c>
      <c r="B25" s="96"/>
      <c r="C25" s="25"/>
      <c r="D25" s="96"/>
      <c r="E25" s="25"/>
      <c r="F25" s="96"/>
      <c r="G25" s="25"/>
      <c r="H25" s="96"/>
      <c r="I25" s="25"/>
      <c r="J25" s="96"/>
      <c r="K25" s="25"/>
      <c r="L25" s="25">
        <f t="shared" si="0"/>
        <v>0</v>
      </c>
    </row>
    <row r="26" spans="1:12" s="24" customFormat="1" ht="15.75" customHeight="1">
      <c r="A26" s="24" t="s">
        <v>355</v>
      </c>
      <c r="B26" s="96"/>
      <c r="C26" s="25"/>
      <c r="D26" s="96"/>
      <c r="E26" s="25"/>
      <c r="F26" s="96"/>
      <c r="G26" s="25"/>
      <c r="H26" s="96"/>
      <c r="I26" s="25"/>
      <c r="J26" s="96"/>
      <c r="K26" s="25"/>
      <c r="L26" s="25">
        <f t="shared" si="0"/>
        <v>0</v>
      </c>
    </row>
    <row r="27" spans="1:12" s="24" customFormat="1" ht="15.75" customHeight="1">
      <c r="A27" s="24" t="s">
        <v>120</v>
      </c>
      <c r="B27" s="96"/>
      <c r="C27" s="25"/>
      <c r="D27" s="96"/>
      <c r="E27" s="25"/>
      <c r="F27" s="96"/>
      <c r="G27" s="25"/>
      <c r="H27" s="96"/>
      <c r="I27" s="25"/>
      <c r="J27" s="96"/>
      <c r="K27" s="25"/>
      <c r="L27" s="25">
        <f t="shared" si="0"/>
        <v>0</v>
      </c>
    </row>
    <row r="28" spans="1:12" s="24" customFormat="1" ht="15.75" customHeight="1">
      <c r="A28" s="24" t="s">
        <v>121</v>
      </c>
      <c r="B28" s="96"/>
      <c r="C28" s="25"/>
      <c r="D28" s="96"/>
      <c r="E28" s="25"/>
      <c r="F28" s="96"/>
      <c r="G28" s="25"/>
      <c r="H28" s="96"/>
      <c r="I28" s="25"/>
      <c r="J28" s="96"/>
      <c r="K28" s="25"/>
      <c r="L28" s="25">
        <f t="shared" si="0"/>
        <v>0</v>
      </c>
    </row>
    <row r="29" spans="1:12" s="24" customFormat="1" ht="15.75" customHeight="1">
      <c r="A29" s="24" t="s">
        <v>122</v>
      </c>
      <c r="B29" s="96"/>
      <c r="C29" s="25"/>
      <c r="D29" s="96"/>
      <c r="E29" s="25"/>
      <c r="F29" s="96"/>
      <c r="G29" s="25"/>
      <c r="H29" s="96"/>
      <c r="I29" s="25"/>
      <c r="J29" s="96"/>
      <c r="K29" s="25"/>
      <c r="L29" s="25">
        <f t="shared" si="0"/>
        <v>0</v>
      </c>
    </row>
    <row r="30" spans="1:12" s="24" customFormat="1" ht="15.75" customHeight="1">
      <c r="A30" s="24" t="s">
        <v>570</v>
      </c>
      <c r="B30" s="96"/>
      <c r="C30" s="25"/>
      <c r="D30" s="96"/>
      <c r="E30" s="25"/>
      <c r="F30" s="96"/>
      <c r="G30" s="25"/>
      <c r="H30" s="96"/>
      <c r="I30" s="25"/>
      <c r="J30" s="96"/>
      <c r="K30" s="25"/>
      <c r="L30" s="25">
        <f t="shared" si="0"/>
        <v>0</v>
      </c>
    </row>
    <row r="31" spans="1:12" s="24" customFormat="1" ht="15.75" customHeight="1">
      <c r="A31" s="24" t="s">
        <v>569</v>
      </c>
      <c r="B31" s="96"/>
      <c r="C31" s="25"/>
      <c r="D31" s="96"/>
      <c r="E31" s="25"/>
      <c r="F31" s="96"/>
      <c r="G31" s="25"/>
      <c r="H31" s="96"/>
      <c r="I31" s="25"/>
      <c r="J31" s="96"/>
      <c r="K31" s="25"/>
      <c r="L31" s="25">
        <f t="shared" si="0"/>
        <v>0</v>
      </c>
    </row>
    <row r="32" spans="1:12" s="24" customFormat="1" ht="15.75" customHeight="1">
      <c r="A32" s="24" t="s">
        <v>274</v>
      </c>
      <c r="B32" s="96"/>
      <c r="C32" s="25"/>
      <c r="D32" s="96"/>
      <c r="E32" s="25"/>
      <c r="F32" s="96"/>
      <c r="G32" s="25"/>
      <c r="H32" s="96"/>
      <c r="I32" s="25"/>
      <c r="J32" s="96"/>
      <c r="K32" s="25"/>
      <c r="L32" s="25">
        <f t="shared" si="0"/>
        <v>0</v>
      </c>
    </row>
    <row r="33" spans="1:12" s="24" customFormat="1" ht="15.75" customHeight="1">
      <c r="A33" s="24" t="s">
        <v>372</v>
      </c>
      <c r="B33" s="96"/>
      <c r="C33" s="25"/>
      <c r="D33" s="96"/>
      <c r="E33" s="25"/>
      <c r="F33" s="96"/>
      <c r="G33" s="25"/>
      <c r="H33" s="96"/>
      <c r="I33" s="25"/>
      <c r="J33" s="96"/>
      <c r="K33" s="25"/>
      <c r="L33" s="25">
        <f t="shared" si="0"/>
        <v>0</v>
      </c>
    </row>
    <row r="34" spans="1:12" s="24" customFormat="1" ht="15.75" customHeight="1">
      <c r="A34" s="24" t="s">
        <v>273</v>
      </c>
      <c r="B34" s="96"/>
      <c r="C34" s="25"/>
      <c r="D34" s="96"/>
      <c r="E34" s="25"/>
      <c r="F34" s="96"/>
      <c r="G34" s="25"/>
      <c r="H34" s="96"/>
      <c r="I34" s="25"/>
      <c r="J34" s="96"/>
      <c r="K34" s="25"/>
      <c r="L34" s="25">
        <f t="shared" si="0"/>
        <v>0</v>
      </c>
    </row>
    <row r="35" spans="1:12" s="24" customFormat="1" ht="15.75" customHeight="1">
      <c r="A35" s="24" t="s">
        <v>577</v>
      </c>
      <c r="B35" s="96"/>
      <c r="C35" s="25"/>
      <c r="D35" s="96"/>
      <c r="E35" s="25"/>
      <c r="F35" s="96"/>
      <c r="G35" s="25"/>
      <c r="H35" s="96"/>
      <c r="I35" s="25"/>
      <c r="J35" s="96"/>
      <c r="K35" s="25"/>
      <c r="L35" s="25">
        <f t="shared" si="0"/>
        <v>0</v>
      </c>
    </row>
    <row r="36" spans="1:12" s="24" customFormat="1" ht="15.75" customHeight="1">
      <c r="A36" s="24" t="s">
        <v>578</v>
      </c>
      <c r="B36" s="96"/>
      <c r="C36" s="25"/>
      <c r="D36" s="96"/>
      <c r="E36" s="25"/>
      <c r="F36" s="96"/>
      <c r="G36" s="25"/>
      <c r="H36" s="96"/>
      <c r="I36" s="25"/>
      <c r="J36" s="96"/>
      <c r="K36" s="25"/>
      <c r="L36" s="25">
        <f t="shared" si="0"/>
        <v>0</v>
      </c>
    </row>
    <row r="37" spans="1:12" s="24" customFormat="1" ht="15.75" customHeight="1">
      <c r="A37" s="24" t="s">
        <v>222</v>
      </c>
      <c r="B37" s="96"/>
      <c r="C37" s="25"/>
      <c r="D37" s="96"/>
      <c r="E37" s="25"/>
      <c r="F37" s="96"/>
      <c r="G37" s="25"/>
      <c r="H37" s="96"/>
      <c r="I37" s="25"/>
      <c r="J37" s="96"/>
      <c r="K37" s="25"/>
      <c r="L37" s="25">
        <f t="shared" si="0"/>
        <v>0</v>
      </c>
    </row>
    <row r="38" spans="1:12" s="24" customFormat="1" ht="15.75" customHeight="1">
      <c r="A38" s="24" t="s">
        <v>275</v>
      </c>
      <c r="B38" s="96"/>
      <c r="C38" s="25"/>
      <c r="D38" s="96"/>
      <c r="E38" s="25"/>
      <c r="F38" s="96"/>
      <c r="G38" s="25"/>
      <c r="H38" s="96"/>
      <c r="I38" s="25"/>
      <c r="J38" s="96"/>
      <c r="K38" s="25"/>
      <c r="L38" s="25">
        <f t="shared" si="0"/>
        <v>0</v>
      </c>
    </row>
    <row r="39" spans="1:12" s="24" customFormat="1" ht="15.75" customHeight="1">
      <c r="A39" s="24" t="s">
        <v>5</v>
      </c>
      <c r="B39" s="157"/>
      <c r="C39" s="26"/>
      <c r="D39" s="157"/>
      <c r="E39" s="26"/>
      <c r="F39" s="157"/>
      <c r="G39" s="26"/>
      <c r="H39" s="157"/>
      <c r="I39" s="26"/>
      <c r="J39" s="157"/>
      <c r="K39" s="25"/>
      <c r="L39" s="25">
        <f t="shared" si="0"/>
        <v>0</v>
      </c>
    </row>
    <row r="40" spans="1:12" s="24" customFormat="1" ht="15.75" customHeight="1">
      <c r="A40" s="24" t="s">
        <v>277</v>
      </c>
      <c r="B40" s="158"/>
      <c r="C40" s="27"/>
      <c r="D40" s="158"/>
      <c r="E40" s="27"/>
      <c r="F40" s="158"/>
      <c r="G40" s="27"/>
      <c r="H40" s="158"/>
      <c r="I40" s="27"/>
      <c r="J40" s="158"/>
      <c r="K40" s="27"/>
      <c r="L40" s="27">
        <f t="shared" si="0"/>
        <v>0</v>
      </c>
    </row>
    <row r="41" spans="1:12" s="24" customFormat="1" ht="15.75" customHeight="1" thickBot="1">
      <c r="A41" s="24" t="s">
        <v>278</v>
      </c>
      <c r="B41" s="159">
        <f>SUM(B8:B40)</f>
        <v>400329.26</v>
      </c>
      <c r="C41" s="28"/>
      <c r="D41" s="159">
        <f>SUM(D8:D40)</f>
        <v>92898.57</v>
      </c>
      <c r="E41" s="28"/>
      <c r="F41" s="159">
        <f>SUM(F8:F40)</f>
        <v>5227749.4400000004</v>
      </c>
      <c r="G41" s="28"/>
      <c r="H41" s="159">
        <f>SUM(H8:H40)</f>
        <v>75988.039999999994</v>
      </c>
      <c r="I41" s="28"/>
      <c r="J41" s="159">
        <f>SUM(J8:J40)</f>
        <v>15601.9</v>
      </c>
      <c r="K41" s="28"/>
      <c r="L41" s="28">
        <f t="shared" si="0"/>
        <v>5812567.2100000009</v>
      </c>
    </row>
    <row r="42" spans="1:12" s="24" customFormat="1" ht="15.75" customHeight="1" thickTop="1">
      <c r="B42" s="96"/>
      <c r="C42" s="25"/>
      <c r="D42" s="96"/>
      <c r="E42" s="25"/>
      <c r="F42" s="96"/>
      <c r="G42" s="25"/>
      <c r="H42" s="96"/>
      <c r="I42" s="25"/>
      <c r="J42" s="96"/>
      <c r="K42" s="25"/>
      <c r="L42" s="25"/>
    </row>
    <row r="43" spans="1:12" s="24" customFormat="1" ht="15.75" customHeight="1">
      <c r="A43" s="46" t="s">
        <v>279</v>
      </c>
      <c r="B43" s="96"/>
      <c r="C43" s="25"/>
      <c r="D43" s="96"/>
      <c r="E43" s="25"/>
      <c r="F43" s="96"/>
      <c r="G43" s="25"/>
      <c r="H43" s="96"/>
      <c r="I43" s="25"/>
      <c r="J43" s="96"/>
      <c r="K43" s="25"/>
      <c r="L43" s="25"/>
    </row>
    <row r="44" spans="1:12" s="24" customFormat="1" ht="15.75" customHeight="1">
      <c r="A44" s="24" t="s">
        <v>224</v>
      </c>
      <c r="B44" s="96"/>
      <c r="C44" s="25"/>
      <c r="D44" s="96">
        <v>660</v>
      </c>
      <c r="E44" s="25"/>
      <c r="F44" s="96"/>
      <c r="G44" s="25"/>
      <c r="H44" s="96">
        <v>8468</v>
      </c>
      <c r="I44" s="25"/>
      <c r="J44" s="96"/>
      <c r="K44" s="25"/>
      <c r="L44" s="25">
        <f t="shared" ref="L44:L53" si="1">SUM(B44:J44)</f>
        <v>9128</v>
      </c>
    </row>
    <row r="45" spans="1:12" s="24" customFormat="1" ht="15.75" customHeight="1">
      <c r="A45" s="24" t="s">
        <v>335</v>
      </c>
      <c r="B45" s="96"/>
      <c r="C45" s="25"/>
      <c r="D45" s="96"/>
      <c r="E45" s="25"/>
      <c r="F45" s="96"/>
      <c r="G45" s="25"/>
      <c r="H45" s="96"/>
      <c r="I45" s="25"/>
      <c r="J45" s="96"/>
      <c r="K45" s="25"/>
      <c r="L45" s="25">
        <f t="shared" si="1"/>
        <v>0</v>
      </c>
    </row>
    <row r="46" spans="1:12" s="24" customFormat="1" ht="15.75" customHeight="1">
      <c r="A46" s="24" t="s">
        <v>84</v>
      </c>
      <c r="B46" s="96"/>
      <c r="C46" s="25"/>
      <c r="D46" s="96"/>
      <c r="E46" s="25"/>
      <c r="F46" s="96"/>
      <c r="G46" s="25"/>
      <c r="H46" s="96"/>
      <c r="I46" s="25"/>
      <c r="J46" s="96"/>
      <c r="K46" s="25"/>
      <c r="L46" s="25">
        <f t="shared" si="1"/>
        <v>0</v>
      </c>
    </row>
    <row r="47" spans="1:12" s="24" customFormat="1" ht="15.75" customHeight="1">
      <c r="A47" s="24" t="s">
        <v>88</v>
      </c>
      <c r="B47" s="96"/>
      <c r="C47" s="25"/>
      <c r="D47" s="96"/>
      <c r="E47" s="25"/>
      <c r="F47" s="96"/>
      <c r="G47" s="25"/>
      <c r="H47" s="96"/>
      <c r="I47" s="25"/>
      <c r="J47" s="96">
        <f>1313.05+13201.62+1087.23</f>
        <v>15601.9</v>
      </c>
      <c r="K47" s="25"/>
      <c r="L47" s="25">
        <f t="shared" si="1"/>
        <v>15601.9</v>
      </c>
    </row>
    <row r="48" spans="1:12" s="24" customFormat="1" ht="15.75" customHeight="1">
      <c r="A48" s="24" t="s">
        <v>85</v>
      </c>
      <c r="B48" s="96"/>
      <c r="C48" s="25"/>
      <c r="D48" s="96"/>
      <c r="E48" s="25"/>
      <c r="F48" s="96"/>
      <c r="G48" s="25"/>
      <c r="H48" s="96">
        <f>180.05+1372.5</f>
        <v>1552.55</v>
      </c>
      <c r="I48" s="25"/>
      <c r="J48" s="96"/>
      <c r="K48" s="25"/>
      <c r="L48" s="25">
        <f t="shared" si="1"/>
        <v>1552.55</v>
      </c>
    </row>
    <row r="49" spans="1:12" s="24" customFormat="1" ht="15.75" customHeight="1">
      <c r="A49" s="24" t="s">
        <v>304</v>
      </c>
      <c r="B49" s="96"/>
      <c r="C49" s="25"/>
      <c r="D49" s="96"/>
      <c r="E49" s="25"/>
      <c r="F49" s="96"/>
      <c r="G49" s="25"/>
      <c r="H49" s="96">
        <f>818.12+5153.22+50002.87-21875.38+297.1</f>
        <v>34395.93</v>
      </c>
      <c r="I49" s="25"/>
      <c r="J49" s="96"/>
      <c r="K49" s="25"/>
      <c r="L49" s="25">
        <f t="shared" si="1"/>
        <v>34395.93</v>
      </c>
    </row>
    <row r="50" spans="1:12" s="24" customFormat="1" ht="15.75" customHeight="1">
      <c r="A50" s="24" t="s">
        <v>280</v>
      </c>
      <c r="B50" s="157"/>
      <c r="C50" s="25"/>
      <c r="D50" s="96"/>
      <c r="E50" s="25"/>
      <c r="F50" s="96"/>
      <c r="G50" s="25"/>
      <c r="H50" s="96">
        <v>31571.56</v>
      </c>
      <c r="I50" s="25"/>
      <c r="J50" s="96"/>
      <c r="K50" s="25"/>
      <c r="L50" s="25">
        <f t="shared" si="1"/>
        <v>31571.56</v>
      </c>
    </row>
    <row r="51" spans="1:12" s="24" customFormat="1" ht="15.75" customHeight="1">
      <c r="A51" s="24" t="s">
        <v>584</v>
      </c>
      <c r="B51" s="157"/>
      <c r="C51" s="25"/>
      <c r="D51" s="96"/>
      <c r="E51" s="25"/>
      <c r="F51" s="96"/>
      <c r="G51" s="25"/>
      <c r="H51" s="96"/>
      <c r="I51" s="25"/>
      <c r="J51" s="96"/>
      <c r="K51" s="25"/>
      <c r="L51" s="25">
        <f t="shared" si="1"/>
        <v>0</v>
      </c>
    </row>
    <row r="52" spans="1:12" s="24" customFormat="1" ht="15.75" customHeight="1">
      <c r="A52" s="24" t="s">
        <v>281</v>
      </c>
      <c r="B52" s="157"/>
      <c r="C52" s="26"/>
      <c r="D52" s="157"/>
      <c r="E52" s="26"/>
      <c r="F52" s="157"/>
      <c r="G52" s="26"/>
      <c r="H52" s="157"/>
      <c r="I52" s="26"/>
      <c r="J52" s="157"/>
      <c r="K52" s="25"/>
      <c r="L52" s="25">
        <f t="shared" si="1"/>
        <v>0</v>
      </c>
    </row>
    <row r="53" spans="1:12" s="24" customFormat="1" ht="15.75" customHeight="1">
      <c r="A53" s="24" t="s">
        <v>282</v>
      </c>
      <c r="B53" s="160">
        <f>SUM(B44:B52)</f>
        <v>0</v>
      </c>
      <c r="C53" s="90"/>
      <c r="D53" s="160">
        <f>SUM(D44:D52)</f>
        <v>660</v>
      </c>
      <c r="E53" s="90"/>
      <c r="F53" s="160">
        <f>SUM(F44:F52)</f>
        <v>0</v>
      </c>
      <c r="G53" s="90"/>
      <c r="H53" s="160">
        <f>SUM(H44:H52)</f>
        <v>75988.039999999994</v>
      </c>
      <c r="I53" s="90"/>
      <c r="J53" s="160">
        <f>SUM(J44:J52)</f>
        <v>15601.9</v>
      </c>
      <c r="K53" s="90"/>
      <c r="L53" s="90">
        <f t="shared" si="1"/>
        <v>92249.939999999988</v>
      </c>
    </row>
    <row r="54" spans="1:12" s="24" customFormat="1" ht="15.75" customHeight="1">
      <c r="B54" s="96"/>
      <c r="C54" s="25"/>
      <c r="D54" s="96"/>
      <c r="E54" s="25"/>
      <c r="F54" s="96"/>
      <c r="G54" s="25"/>
      <c r="H54" s="96"/>
      <c r="I54" s="25"/>
      <c r="J54" s="96"/>
      <c r="K54" s="25"/>
      <c r="L54" s="25"/>
    </row>
    <row r="55" spans="1:12" s="24" customFormat="1" ht="15.75" customHeight="1">
      <c r="B55" s="96"/>
      <c r="C55" s="25"/>
      <c r="D55" s="96"/>
      <c r="E55" s="25"/>
      <c r="F55" s="96"/>
      <c r="G55" s="25"/>
      <c r="H55" s="96"/>
      <c r="I55" s="25"/>
      <c r="J55" s="96"/>
      <c r="K55" s="25"/>
      <c r="L55" s="25"/>
    </row>
    <row r="56" spans="1:12" s="24" customFormat="1" ht="15.75" customHeight="1">
      <c r="A56" s="46" t="s">
        <v>283</v>
      </c>
      <c r="B56" s="96"/>
      <c r="C56" s="25"/>
      <c r="D56" s="96"/>
      <c r="E56" s="25"/>
      <c r="F56" s="96"/>
      <c r="G56" s="25"/>
      <c r="H56" s="96"/>
      <c r="I56" s="25"/>
      <c r="J56" s="96"/>
      <c r="K56" s="25"/>
      <c r="L56" s="25"/>
    </row>
    <row r="57" spans="1:12" s="24" customFormat="1" ht="15.75" customHeight="1">
      <c r="A57" s="24" t="s">
        <v>86</v>
      </c>
      <c r="B57" s="96"/>
      <c r="C57" s="25"/>
      <c r="D57" s="96"/>
      <c r="E57" s="25"/>
      <c r="F57" s="96"/>
      <c r="G57" s="25"/>
      <c r="H57" s="96"/>
      <c r="I57" s="25"/>
      <c r="J57" s="96"/>
      <c r="K57" s="25"/>
      <c r="L57" s="96">
        <f t="shared" ref="L57:L67" si="2">SUM(B57:J57)</f>
        <v>0</v>
      </c>
    </row>
    <row r="58" spans="1:12" s="24" customFormat="1" ht="15.75" customHeight="1">
      <c r="A58" s="24" t="s">
        <v>87</v>
      </c>
      <c r="B58" s="96"/>
      <c r="C58" s="25"/>
      <c r="D58" s="96"/>
      <c r="E58" s="25"/>
      <c r="F58" s="96"/>
      <c r="G58" s="25"/>
      <c r="H58" s="96"/>
      <c r="I58" s="25"/>
      <c r="J58" s="96"/>
      <c r="K58" s="25"/>
      <c r="L58" s="96">
        <f t="shared" si="2"/>
        <v>0</v>
      </c>
    </row>
    <row r="59" spans="1:12" s="24" customFormat="1" ht="15.75" customHeight="1">
      <c r="A59" s="24" t="s">
        <v>4</v>
      </c>
      <c r="B59" s="96"/>
      <c r="C59" s="25"/>
      <c r="D59" s="96"/>
      <c r="E59" s="25"/>
      <c r="F59" s="96"/>
      <c r="G59" s="25"/>
      <c r="H59" s="96"/>
      <c r="I59" s="25"/>
      <c r="J59" s="96"/>
      <c r="K59" s="25"/>
      <c r="L59" s="96">
        <f t="shared" si="2"/>
        <v>0</v>
      </c>
    </row>
    <row r="60" spans="1:12" s="24" customFormat="1" ht="15.75" customHeight="1">
      <c r="A60" s="24" t="s">
        <v>580</v>
      </c>
      <c r="B60" s="96"/>
      <c r="C60" s="25"/>
      <c r="D60" s="96"/>
      <c r="E60" s="25"/>
      <c r="F60" s="96"/>
      <c r="G60" s="25"/>
      <c r="H60" s="96"/>
      <c r="I60" s="25"/>
      <c r="J60" s="96"/>
      <c r="K60" s="25"/>
      <c r="L60" s="96">
        <f t="shared" si="2"/>
        <v>0</v>
      </c>
    </row>
    <row r="61" spans="1:12" s="24" customFormat="1" ht="15.75" customHeight="1">
      <c r="A61" s="24" t="s">
        <v>581</v>
      </c>
      <c r="B61" s="96"/>
      <c r="C61" s="25"/>
      <c r="D61" s="96"/>
      <c r="E61" s="25"/>
      <c r="F61" s="96"/>
      <c r="G61" s="25"/>
      <c r="H61" s="96"/>
      <c r="I61" s="25"/>
      <c r="J61" s="96"/>
      <c r="K61" s="25"/>
      <c r="L61" s="96">
        <f t="shared" si="2"/>
        <v>0</v>
      </c>
    </row>
    <row r="62" spans="1:12" s="24" customFormat="1" ht="15.75" customHeight="1">
      <c r="A62" s="24" t="s">
        <v>582</v>
      </c>
      <c r="B62" s="96"/>
      <c r="C62" s="25"/>
      <c r="D62" s="96"/>
      <c r="E62" s="25"/>
      <c r="F62" s="96"/>
      <c r="G62" s="25"/>
      <c r="H62" s="96"/>
      <c r="I62" s="25"/>
      <c r="J62" s="96"/>
      <c r="K62" s="25"/>
      <c r="L62" s="96">
        <f t="shared" si="2"/>
        <v>0</v>
      </c>
    </row>
    <row r="63" spans="1:12" s="24" customFormat="1" ht="15.75" customHeight="1">
      <c r="A63" s="24" t="s">
        <v>583</v>
      </c>
      <c r="B63" s="96"/>
      <c r="C63" s="25"/>
      <c r="D63" s="96"/>
      <c r="E63" s="25"/>
      <c r="F63" s="96"/>
      <c r="G63" s="25"/>
      <c r="H63" s="96"/>
      <c r="I63" s="25"/>
      <c r="J63" s="96"/>
      <c r="K63" s="25"/>
      <c r="L63" s="96">
        <f t="shared" si="2"/>
        <v>0</v>
      </c>
    </row>
    <row r="64" spans="1:12" s="24" customFormat="1" ht="15.75" customHeight="1">
      <c r="A64" s="24" t="s">
        <v>579</v>
      </c>
      <c r="B64" s="96"/>
      <c r="C64" s="25"/>
      <c r="D64" s="96"/>
      <c r="E64" s="25"/>
      <c r="F64" s="96"/>
      <c r="G64" s="25"/>
      <c r="H64" s="96"/>
      <c r="I64" s="25"/>
      <c r="J64" s="96"/>
      <c r="K64" s="25"/>
      <c r="L64" s="96">
        <f t="shared" si="2"/>
        <v>0</v>
      </c>
    </row>
    <row r="65" spans="1:12" ht="15.75" customHeight="1">
      <c r="A65" s="24" t="s">
        <v>3</v>
      </c>
      <c r="B65" s="96">
        <f>10000+217265+76700+10650+7365+500+38000+1000+345+612+20000+600+1000+2000+500+635+128.06+500+5000+268+1000+500+5000+761.2</f>
        <v>400329.26</v>
      </c>
      <c r="C65" s="25"/>
      <c r="D65" s="96"/>
      <c r="E65" s="25"/>
      <c r="F65" s="96"/>
      <c r="G65" s="25"/>
      <c r="H65" s="96"/>
      <c r="I65" s="25"/>
      <c r="J65" s="96"/>
      <c r="K65" s="25"/>
      <c r="L65" s="25">
        <f t="shared" si="2"/>
        <v>400329.26</v>
      </c>
    </row>
    <row r="66" spans="1:12" s="24" customFormat="1" ht="15.75" customHeight="1">
      <c r="A66" s="24" t="s">
        <v>574</v>
      </c>
      <c r="B66" s="158"/>
      <c r="C66" s="27"/>
      <c r="D66" s="158">
        <f>228.63+2831.14+1634.19+36.66+121.84+8.48+881.75+21.2+108.54+7.21+4182.38+10.2+2252.97+207.4+3140.3+5532.12+2229.03+1186.05+4537.12+34250.45+1620.33+1705.89+1358.45+18121.99+1878.54+2317.61+972.17+544.86+311.07</f>
        <v>92238.569999999992</v>
      </c>
      <c r="E66" s="27"/>
      <c r="F66" s="158">
        <f>93822.36+2738534.32+827.11+12754.23+595.13+5933.85+1504.29+1058653.36+1288347.33+26777.46</f>
        <v>5227749.4399999995</v>
      </c>
      <c r="G66" s="27"/>
      <c r="H66" s="158"/>
      <c r="I66" s="27"/>
      <c r="J66" s="158"/>
      <c r="K66" s="27"/>
      <c r="L66" s="27">
        <f t="shared" si="2"/>
        <v>5319988.01</v>
      </c>
    </row>
    <row r="67" spans="1:12" s="24" customFormat="1" ht="15.75" customHeight="1">
      <c r="A67" s="24" t="s">
        <v>284</v>
      </c>
      <c r="B67" s="96">
        <f>SUM(B57:B66)</f>
        <v>400329.26</v>
      </c>
      <c r="C67" s="25"/>
      <c r="D67" s="96">
        <f>SUM(D57:D66)</f>
        <v>92238.569999999992</v>
      </c>
      <c r="E67" s="25"/>
      <c r="F67" s="96">
        <f>SUM(F57:F66)</f>
        <v>5227749.4399999995</v>
      </c>
      <c r="G67" s="25"/>
      <c r="H67" s="96">
        <f>SUM(H57:H66)</f>
        <v>0</v>
      </c>
      <c r="I67" s="25"/>
      <c r="J67" s="96">
        <f>SUM(J57:J66)</f>
        <v>0</v>
      </c>
      <c r="K67" s="25"/>
      <c r="L67" s="25">
        <f t="shared" si="2"/>
        <v>5720317.2699999996</v>
      </c>
    </row>
    <row r="68" spans="1:12" s="24" customFormat="1" ht="15.75" customHeight="1">
      <c r="B68" s="96"/>
      <c r="C68" s="25"/>
      <c r="D68" s="96"/>
      <c r="E68" s="25"/>
      <c r="F68" s="96"/>
      <c r="G68" s="25"/>
      <c r="H68" s="96"/>
      <c r="I68" s="25"/>
      <c r="J68" s="96"/>
      <c r="K68" s="25"/>
      <c r="L68" s="25"/>
    </row>
    <row r="69" spans="1:12" s="24" customFormat="1" ht="15.75" customHeight="1" thickBot="1">
      <c r="A69" s="24" t="s">
        <v>285</v>
      </c>
      <c r="B69" s="159">
        <f>B53+B67</f>
        <v>400329.26</v>
      </c>
      <c r="C69" s="28"/>
      <c r="D69" s="159">
        <f>D53+D67</f>
        <v>92898.569999999992</v>
      </c>
      <c r="E69" s="28"/>
      <c r="F69" s="159">
        <f>F53+F67</f>
        <v>5227749.4399999995</v>
      </c>
      <c r="G69" s="28"/>
      <c r="H69" s="159">
        <f>H53+H67</f>
        <v>75988.039999999994</v>
      </c>
      <c r="I69" s="28"/>
      <c r="J69" s="159">
        <f>J53+J67</f>
        <v>15601.9</v>
      </c>
      <c r="K69" s="28"/>
      <c r="L69" s="28">
        <f>SUM(B69:J69)</f>
        <v>5812567.21</v>
      </c>
    </row>
    <row r="70" spans="1:12" ht="15.75" customHeight="1" thickTop="1">
      <c r="B70" s="237"/>
    </row>
    <row r="80" spans="1:12" ht="12" customHeight="1">
      <c r="A80" s="215" t="s">
        <v>571</v>
      </c>
    </row>
    <row r="81" spans="1:1" ht="15.75" customHeight="1">
      <c r="A81" s="215" t="s">
        <v>572</v>
      </c>
    </row>
    <row r="82" spans="1:1" ht="15.75" customHeight="1">
      <c r="A82" s="215" t="s">
        <v>573</v>
      </c>
    </row>
  </sheetData>
  <mergeCells count="6">
    <mergeCell ref="A1:J1"/>
    <mergeCell ref="K1:L1"/>
    <mergeCell ref="A2:J2"/>
    <mergeCell ref="K2:L2"/>
    <mergeCell ref="A3:J3"/>
    <mergeCell ref="K3:L3"/>
  </mergeCells>
  <pageMargins left="0.7" right="0.7" top="0.75" bottom="0.75" header="0.3" footer="0.3"/>
  <pageSetup scale="4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X73"/>
  <sheetViews>
    <sheetView zoomScaleNormal="100" workbookViewId="0">
      <pane xSplit="1" topLeftCell="M1" activePane="topRight" state="frozen"/>
      <selection pane="topRight" activeCell="W58" sqref="W58"/>
    </sheetView>
  </sheetViews>
  <sheetFormatPr defaultColWidth="7.109375" defaultRowHeight="15.75" customHeight="1"/>
  <cols>
    <col min="1" max="1" width="42.77734375" style="43" customWidth="1"/>
    <col min="2" max="2" width="17.77734375" style="161" customWidth="1"/>
    <col min="3" max="3" width="2.88671875" style="43" customWidth="1"/>
    <col min="4" max="4" width="17.77734375" style="161" customWidth="1"/>
    <col min="5" max="5" width="2.88671875" style="43" customWidth="1"/>
    <col min="6" max="6" width="17.77734375" style="161" customWidth="1"/>
    <col min="7" max="7" width="2.88671875" style="43" customWidth="1"/>
    <col min="8" max="8" width="17.77734375" style="161" customWidth="1"/>
    <col min="9" max="9" width="2.88671875" style="43" customWidth="1"/>
    <col min="10" max="10" width="17.77734375" style="161" customWidth="1"/>
    <col min="11" max="11" width="2.88671875" style="43" customWidth="1"/>
    <col min="12" max="12" width="17.77734375" style="161" customWidth="1"/>
    <col min="13" max="13" width="2.88671875" style="43" customWidth="1"/>
    <col min="14" max="14" width="17.77734375" style="161" customWidth="1"/>
    <col min="15" max="15" width="2.88671875" style="43" customWidth="1"/>
    <col min="16" max="16" width="17.77734375" style="161" customWidth="1"/>
    <col min="17" max="17" width="3.5546875" style="161" customWidth="1"/>
    <col min="18" max="18" width="17.77734375" style="161" customWidth="1"/>
    <col min="19" max="19" width="2.88671875" style="43" customWidth="1"/>
    <col min="20" max="20" width="17.77734375" style="161" customWidth="1"/>
    <col min="21" max="21" width="2.88671875" style="43" customWidth="1"/>
    <col min="22" max="22" width="17.77734375" style="43" customWidth="1"/>
    <col min="23" max="16384" width="7.109375" style="43"/>
  </cols>
  <sheetData>
    <row r="1" spans="1:24" ht="15.75" customHeight="1">
      <c r="A1" s="257" t="s">
        <v>46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7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20"/>
      <c r="X1" s="220"/>
    </row>
    <row r="2" spans="1:24" ht="15.75" customHeight="1">
      <c r="A2" s="257" t="s">
        <v>693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7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20"/>
      <c r="X2" s="220"/>
    </row>
    <row r="3" spans="1:24" ht="15.75" customHeight="1">
      <c r="A3" s="257" t="s">
        <v>845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7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20"/>
      <c r="X3" s="220"/>
    </row>
    <row r="4" spans="1:24" ht="15.75" customHeight="1">
      <c r="A4" s="219"/>
      <c r="B4" s="154"/>
      <c r="C4" s="221"/>
      <c r="D4" s="154"/>
      <c r="E4" s="221"/>
      <c r="F4" s="154"/>
      <c r="G4" s="221"/>
      <c r="H4" s="154"/>
      <c r="I4" s="221"/>
      <c r="J4" s="154"/>
      <c r="K4" s="221"/>
      <c r="L4" s="154"/>
      <c r="M4" s="219"/>
      <c r="N4" s="154"/>
      <c r="O4" s="219"/>
      <c r="P4" s="162"/>
      <c r="Q4" s="162"/>
      <c r="R4" s="162"/>
      <c r="S4" s="220"/>
      <c r="T4" s="162"/>
      <c r="U4" s="220"/>
      <c r="V4" s="220"/>
      <c r="W4" s="220"/>
      <c r="X4" s="220"/>
    </row>
    <row r="5" spans="1:24" s="24" customFormat="1" ht="15.75" customHeight="1">
      <c r="B5" s="238"/>
      <c r="D5" s="155"/>
      <c r="F5" s="155"/>
      <c r="H5" s="155" t="s">
        <v>648</v>
      </c>
      <c r="J5" s="155"/>
      <c r="L5" s="155" t="s">
        <v>651</v>
      </c>
      <c r="N5" s="238"/>
      <c r="P5" s="155" t="s">
        <v>786</v>
      </c>
      <c r="Q5" s="155"/>
      <c r="R5" s="155"/>
      <c r="T5" s="155"/>
    </row>
    <row r="6" spans="1:24" s="24" customFormat="1" ht="15.75" customHeight="1">
      <c r="B6" s="156" t="s">
        <v>264</v>
      </c>
      <c r="D6" s="156" t="s">
        <v>646</v>
      </c>
      <c r="F6" s="156" t="s">
        <v>647</v>
      </c>
      <c r="H6" s="156" t="s">
        <v>649</v>
      </c>
      <c r="J6" s="156" t="s">
        <v>650</v>
      </c>
      <c r="L6" s="156" t="s">
        <v>265</v>
      </c>
      <c r="N6" s="156" t="s">
        <v>676</v>
      </c>
      <c r="P6" s="156" t="s">
        <v>677</v>
      </c>
      <c r="Q6" s="228"/>
      <c r="R6" s="156" t="s">
        <v>2</v>
      </c>
      <c r="T6" s="156" t="s">
        <v>42</v>
      </c>
      <c r="V6" s="45" t="s">
        <v>268</v>
      </c>
    </row>
    <row r="7" spans="1:24" s="24" customFormat="1" ht="15.75" customHeight="1">
      <c r="A7" s="46" t="s">
        <v>661</v>
      </c>
      <c r="B7" s="96"/>
      <c r="C7" s="25"/>
      <c r="D7" s="96"/>
      <c r="E7" s="25"/>
      <c r="F7" s="96"/>
      <c r="G7" s="25"/>
      <c r="H7" s="96"/>
      <c r="I7" s="25"/>
      <c r="J7" s="96"/>
      <c r="K7" s="25"/>
      <c r="L7" s="96"/>
      <c r="M7" s="25"/>
      <c r="N7" s="96"/>
      <c r="O7" s="25"/>
      <c r="P7" s="96"/>
      <c r="Q7" s="96"/>
      <c r="R7" s="96"/>
      <c r="S7" s="25"/>
      <c r="T7" s="96"/>
      <c r="U7" s="25"/>
      <c r="V7" s="25"/>
    </row>
    <row r="8" spans="1:24" s="24" customFormat="1" ht="15.75" customHeight="1">
      <c r="A8" s="24" t="s">
        <v>662</v>
      </c>
      <c r="B8" s="96">
        <v>23731497.109999999</v>
      </c>
      <c r="C8" s="25"/>
      <c r="D8" s="96"/>
      <c r="E8" s="25"/>
      <c r="F8" s="96"/>
      <c r="G8" s="25"/>
      <c r="H8" s="96"/>
      <c r="I8" s="25"/>
      <c r="J8" s="96"/>
      <c r="K8" s="25"/>
      <c r="L8" s="96"/>
      <c r="M8" s="25"/>
      <c r="N8" s="96"/>
      <c r="O8" s="25"/>
      <c r="P8" s="96"/>
      <c r="Q8" s="96"/>
      <c r="R8" s="96"/>
      <c r="S8" s="25"/>
      <c r="T8" s="96"/>
      <c r="U8" s="25"/>
      <c r="V8" s="96">
        <f>SUM(B8:T8)</f>
        <v>23731497.109999999</v>
      </c>
    </row>
    <row r="9" spans="1:24" s="24" customFormat="1" ht="15.75" customHeight="1">
      <c r="A9" s="24" t="s">
        <v>663</v>
      </c>
      <c r="B9" s="96">
        <v>2728993.79</v>
      </c>
      <c r="C9" s="25"/>
      <c r="D9" s="96"/>
      <c r="E9" s="25"/>
      <c r="F9" s="96">
        <v>104.34</v>
      </c>
      <c r="G9" s="25"/>
      <c r="H9" s="96">
        <v>40536.68</v>
      </c>
      <c r="I9" s="25"/>
      <c r="J9" s="96">
        <f>155211.68+3237.5</f>
        <v>158449.18</v>
      </c>
      <c r="K9" s="25"/>
      <c r="L9" s="96">
        <f>9240.1+5180.67</f>
        <v>14420.77</v>
      </c>
      <c r="M9" s="25"/>
      <c r="N9" s="96">
        <v>41835.86</v>
      </c>
      <c r="O9" s="25"/>
      <c r="P9" s="96">
        <f>4915.06+1279094.88</f>
        <v>1284009.94</v>
      </c>
      <c r="Q9" s="96"/>
      <c r="R9" s="96">
        <f>6550+2671.85+450+99966.34+4851.88</f>
        <v>114490.07</v>
      </c>
      <c r="S9" s="25"/>
      <c r="T9" s="96">
        <f>50091.48+584861.02</f>
        <v>634952.5</v>
      </c>
      <c r="U9" s="25"/>
      <c r="V9" s="25">
        <f>SUM(B9:T9)</f>
        <v>5017793.1300000008</v>
      </c>
    </row>
    <row r="10" spans="1:24" s="24" customFormat="1" ht="15.75" customHeight="1">
      <c r="A10" s="24" t="s">
        <v>681</v>
      </c>
      <c r="B10" s="96"/>
      <c r="C10" s="25"/>
      <c r="D10" s="96"/>
      <c r="E10" s="25"/>
      <c r="F10" s="96"/>
      <c r="G10" s="25"/>
      <c r="H10" s="96"/>
      <c r="I10" s="25"/>
      <c r="J10" s="96"/>
      <c r="K10" s="25"/>
      <c r="L10" s="96"/>
      <c r="M10" s="25"/>
      <c r="N10" s="96"/>
      <c r="O10" s="25"/>
      <c r="P10" s="96"/>
      <c r="Q10" s="96"/>
      <c r="R10" s="96"/>
      <c r="S10" s="25"/>
      <c r="T10" s="96">
        <v>1888424.63</v>
      </c>
      <c r="U10" s="25"/>
      <c r="V10" s="25">
        <f>SUM(B10:T10)</f>
        <v>1888424.63</v>
      </c>
    </row>
    <row r="11" spans="1:24" s="24" customFormat="1" ht="15.75" customHeight="1">
      <c r="A11" s="24" t="s">
        <v>664</v>
      </c>
      <c r="B11" s="96">
        <v>7412.66</v>
      </c>
      <c r="C11" s="25"/>
      <c r="D11" s="96">
        <v>351174.5</v>
      </c>
      <c r="E11" s="25"/>
      <c r="F11" s="96"/>
      <c r="G11" s="25"/>
      <c r="H11" s="96"/>
      <c r="I11" s="25"/>
      <c r="J11" s="96"/>
      <c r="K11" s="25"/>
      <c r="L11" s="96"/>
      <c r="M11" s="25"/>
      <c r="N11" s="96"/>
      <c r="O11" s="25"/>
      <c r="P11" s="96"/>
      <c r="Q11" s="96"/>
      <c r="R11" s="96">
        <v>0</v>
      </c>
      <c r="S11" s="25"/>
      <c r="T11" s="96"/>
      <c r="U11" s="25"/>
      <c r="V11" s="25">
        <f>SUM(B11:T11)</f>
        <v>358587.16</v>
      </c>
    </row>
    <row r="12" spans="1:24" s="24" customFormat="1" ht="15.75" customHeight="1">
      <c r="A12" s="24" t="s">
        <v>665</v>
      </c>
      <c r="B12" s="158">
        <v>2323322.64</v>
      </c>
      <c r="C12" s="27"/>
      <c r="D12" s="158"/>
      <c r="E12" s="27"/>
      <c r="F12" s="158">
        <v>343039.58</v>
      </c>
      <c r="G12" s="27"/>
      <c r="H12" s="158">
        <v>269.7</v>
      </c>
      <c r="I12" s="27"/>
      <c r="J12" s="158">
        <v>0</v>
      </c>
      <c r="K12" s="27"/>
      <c r="L12" s="158"/>
      <c r="M12" s="27"/>
      <c r="N12" s="158">
        <v>877249.52</v>
      </c>
      <c r="O12" s="27"/>
      <c r="P12" s="158">
        <v>0</v>
      </c>
      <c r="Q12" s="158"/>
      <c r="R12" s="158"/>
      <c r="S12" s="27"/>
      <c r="T12" s="158"/>
      <c r="U12" s="27"/>
      <c r="V12" s="27">
        <f>SUM(B12:T12)</f>
        <v>3543881.4400000004</v>
      </c>
    </row>
    <row r="13" spans="1:24" s="24" customFormat="1" ht="15.75" customHeight="1">
      <c r="A13" s="24" t="s">
        <v>670</v>
      </c>
      <c r="B13" s="96">
        <f>SUM(B8:B12)</f>
        <v>28791226.199999999</v>
      </c>
      <c r="C13" s="25"/>
      <c r="D13" s="96">
        <f>SUM(D8:D12)</f>
        <v>351174.5</v>
      </c>
      <c r="E13" s="25"/>
      <c r="F13" s="25">
        <f>SUM(F8:F12)</f>
        <v>343143.92000000004</v>
      </c>
      <c r="G13" s="25"/>
      <c r="H13" s="96">
        <f>SUM(H8:H12)</f>
        <v>40806.379999999997</v>
      </c>
      <c r="I13" s="25"/>
      <c r="J13" s="96">
        <f>SUM(J8:J12)</f>
        <v>158449.18</v>
      </c>
      <c r="K13" s="25"/>
      <c r="L13" s="96">
        <f>SUM(L8:L12)</f>
        <v>14420.77</v>
      </c>
      <c r="M13" s="25"/>
      <c r="N13" s="96">
        <f>SUM(N8:N12)</f>
        <v>919085.38</v>
      </c>
      <c r="O13" s="25"/>
      <c r="P13" s="96">
        <f>SUM(P8:P12)</f>
        <v>1284009.94</v>
      </c>
      <c r="Q13" s="96"/>
      <c r="R13" s="96">
        <f>SUM(R8:R12)</f>
        <v>114490.07</v>
      </c>
      <c r="S13" s="25"/>
      <c r="T13" s="96">
        <f>SUM(T8:T12)</f>
        <v>2523377.13</v>
      </c>
      <c r="U13" s="25"/>
      <c r="V13" s="25">
        <f>SUM(V8:V12)</f>
        <v>34540183.469999999</v>
      </c>
    </row>
    <row r="14" spans="1:24" s="24" customFormat="1" ht="15.75" customHeight="1">
      <c r="B14" s="96"/>
      <c r="C14" s="25"/>
      <c r="D14" s="96"/>
      <c r="E14" s="25"/>
      <c r="F14" s="96"/>
      <c r="G14" s="25"/>
      <c r="H14" s="96"/>
      <c r="I14" s="25"/>
      <c r="J14" s="96"/>
      <c r="K14" s="25"/>
      <c r="L14" s="96"/>
      <c r="M14" s="25"/>
      <c r="N14" s="96"/>
      <c r="O14" s="25"/>
      <c r="P14" s="96"/>
      <c r="Q14" s="96"/>
      <c r="R14" s="96"/>
      <c r="S14" s="25"/>
      <c r="T14" s="96"/>
      <c r="U14" s="25"/>
      <c r="V14" s="25"/>
    </row>
    <row r="15" spans="1:24" s="24" customFormat="1" ht="15.75" customHeight="1">
      <c r="A15" s="24" t="s">
        <v>666</v>
      </c>
      <c r="B15" s="96"/>
      <c r="C15" s="25"/>
      <c r="D15" s="96"/>
      <c r="E15" s="25"/>
      <c r="F15" s="96"/>
      <c r="G15" s="25"/>
      <c r="H15" s="96"/>
      <c r="I15" s="25"/>
      <c r="J15" s="96"/>
      <c r="K15" s="25"/>
      <c r="L15" s="96"/>
      <c r="M15" s="25"/>
      <c r="N15" s="96"/>
      <c r="O15" s="25"/>
      <c r="P15" s="96"/>
      <c r="Q15" s="96"/>
      <c r="R15" s="96"/>
      <c r="S15" s="25"/>
      <c r="T15" s="96"/>
      <c r="U15" s="25"/>
      <c r="V15" s="25">
        <f t="shared" ref="V15:V20" si="0">SUM(B15:T15)</f>
        <v>0</v>
      </c>
    </row>
    <row r="16" spans="1:24" s="24" customFormat="1" ht="15.75" customHeight="1">
      <c r="A16" s="24" t="s">
        <v>668</v>
      </c>
      <c r="B16" s="96">
        <v>3000</v>
      </c>
      <c r="C16" s="25"/>
      <c r="D16" s="96"/>
      <c r="E16" s="25"/>
      <c r="F16" s="96"/>
      <c r="G16" s="25"/>
      <c r="H16" s="96"/>
      <c r="I16" s="25"/>
      <c r="J16" s="96"/>
      <c r="K16" s="25"/>
      <c r="L16" s="96"/>
      <c r="M16" s="25"/>
      <c r="N16" s="96"/>
      <c r="O16" s="25"/>
      <c r="P16" s="96"/>
      <c r="Q16" s="96"/>
      <c r="R16" s="96"/>
      <c r="S16" s="25"/>
      <c r="T16" s="96"/>
      <c r="U16" s="25"/>
      <c r="V16" s="25">
        <f t="shared" si="0"/>
        <v>3000</v>
      </c>
    </row>
    <row r="17" spans="1:22" s="24" customFormat="1" ht="15.75" customHeight="1">
      <c r="A17" s="24" t="s">
        <v>667</v>
      </c>
      <c r="B17" s="96">
        <v>87962</v>
      </c>
      <c r="C17" s="25"/>
      <c r="D17" s="96"/>
      <c r="E17" s="25"/>
      <c r="F17" s="96"/>
      <c r="G17" s="25"/>
      <c r="H17" s="96"/>
      <c r="I17" s="25"/>
      <c r="J17" s="96"/>
      <c r="K17" s="25"/>
      <c r="L17" s="96"/>
      <c r="M17" s="25"/>
      <c r="N17" s="96"/>
      <c r="O17" s="25"/>
      <c r="P17" s="96">
        <v>25240</v>
      </c>
      <c r="Q17" s="96"/>
      <c r="R17" s="96"/>
      <c r="S17" s="25"/>
      <c r="T17" s="96"/>
      <c r="U17" s="25"/>
      <c r="V17" s="25">
        <f t="shared" si="0"/>
        <v>113202</v>
      </c>
    </row>
    <row r="18" spans="1:22" s="24" customFormat="1" ht="15.75" customHeight="1">
      <c r="A18" s="24" t="s">
        <v>680</v>
      </c>
      <c r="B18" s="96">
        <v>0</v>
      </c>
      <c r="C18" s="25"/>
      <c r="D18" s="96"/>
      <c r="E18" s="25"/>
      <c r="F18" s="96">
        <v>3217.29</v>
      </c>
      <c r="G18" s="25"/>
      <c r="H18" s="96"/>
      <c r="I18" s="25"/>
      <c r="J18" s="96"/>
      <c r="K18" s="25"/>
      <c r="L18" s="96"/>
      <c r="M18" s="25"/>
      <c r="N18" s="96">
        <v>728000</v>
      </c>
      <c r="O18" s="25"/>
      <c r="P18" s="96"/>
      <c r="Q18" s="96"/>
      <c r="R18" s="96">
        <f>134731+200000+585000</f>
        <v>919731</v>
      </c>
      <c r="S18" s="25"/>
      <c r="T18" s="96"/>
      <c r="U18" s="25"/>
      <c r="V18" s="25">
        <f t="shared" si="0"/>
        <v>1650948.29</v>
      </c>
    </row>
    <row r="19" spans="1:22" s="24" customFormat="1" ht="15.75" customHeight="1">
      <c r="A19" s="24" t="s">
        <v>669</v>
      </c>
      <c r="B19" s="96">
        <v>23213.08</v>
      </c>
      <c r="C19" s="25"/>
      <c r="D19" s="96"/>
      <c r="E19" s="25"/>
      <c r="F19" s="96"/>
      <c r="G19" s="25"/>
      <c r="H19" s="96"/>
      <c r="I19" s="25"/>
      <c r="J19" s="96"/>
      <c r="K19" s="25"/>
      <c r="L19" s="96"/>
      <c r="M19" s="25"/>
      <c r="N19" s="96"/>
      <c r="O19" s="25"/>
      <c r="P19" s="96"/>
      <c r="Q19" s="96"/>
      <c r="R19" s="96"/>
      <c r="S19" s="25"/>
      <c r="T19" s="96"/>
      <c r="U19" s="25"/>
      <c r="V19" s="25">
        <f t="shared" si="0"/>
        <v>23213.08</v>
      </c>
    </row>
    <row r="20" spans="1:22" s="24" customFormat="1" ht="15.75" customHeight="1">
      <c r="A20" s="24" t="s">
        <v>741</v>
      </c>
      <c r="B20" s="158">
        <v>0</v>
      </c>
      <c r="C20" s="27"/>
      <c r="D20" s="158"/>
      <c r="E20" s="27"/>
      <c r="F20" s="158"/>
      <c r="G20" s="27"/>
      <c r="H20" s="158"/>
      <c r="I20" s="27"/>
      <c r="J20" s="158"/>
      <c r="K20" s="27"/>
      <c r="L20" s="158"/>
      <c r="M20" s="27"/>
      <c r="N20" s="158"/>
      <c r="O20" s="27"/>
      <c r="P20" s="158"/>
      <c r="Q20" s="158"/>
      <c r="R20" s="158"/>
      <c r="S20" s="27"/>
      <c r="T20" s="158"/>
      <c r="U20" s="27"/>
      <c r="V20" s="27">
        <f t="shared" si="0"/>
        <v>0</v>
      </c>
    </row>
    <row r="21" spans="1:22" s="24" customFormat="1" ht="15.75" customHeight="1">
      <c r="A21" s="24" t="s">
        <v>670</v>
      </c>
      <c r="B21" s="96">
        <f>SUM(B16:B20)</f>
        <v>114175.08</v>
      </c>
      <c r="C21" s="25"/>
      <c r="D21" s="96">
        <f>SUM(D16:D20)</f>
        <v>0</v>
      </c>
      <c r="E21" s="25"/>
      <c r="F21" s="96">
        <f>SUM(F16:F20)</f>
        <v>3217.29</v>
      </c>
      <c r="G21" s="25"/>
      <c r="H21" s="96">
        <f>SUM(H16:H20)</f>
        <v>0</v>
      </c>
      <c r="I21" s="25"/>
      <c r="J21" s="96">
        <f>SUM(J16:J20)</f>
        <v>0</v>
      </c>
      <c r="K21" s="25"/>
      <c r="L21" s="96">
        <f>SUM(L16:L20)</f>
        <v>0</v>
      </c>
      <c r="M21" s="25"/>
      <c r="N21" s="96">
        <f>SUM(N16:N20)</f>
        <v>728000</v>
      </c>
      <c r="O21" s="25"/>
      <c r="P21" s="96">
        <f>SUM(P16:P20)</f>
        <v>25240</v>
      </c>
      <c r="Q21" s="96"/>
      <c r="R21" s="96">
        <f>SUM(R16:R20)</f>
        <v>919731</v>
      </c>
      <c r="S21" s="25"/>
      <c r="T21" s="96">
        <f>SUM(T16:T20)</f>
        <v>0</v>
      </c>
      <c r="U21" s="25"/>
      <c r="V21" s="96">
        <f>SUM(V16:V20)</f>
        <v>1790363.37</v>
      </c>
    </row>
    <row r="22" spans="1:22" s="24" customFormat="1" ht="15.75" customHeight="1">
      <c r="B22" s="96"/>
      <c r="C22" s="25"/>
      <c r="D22" s="96"/>
      <c r="E22" s="25"/>
      <c r="F22" s="96"/>
      <c r="G22" s="25"/>
      <c r="H22" s="96"/>
      <c r="I22" s="25"/>
      <c r="J22" s="96"/>
      <c r="K22" s="25"/>
      <c r="L22" s="96"/>
      <c r="M22" s="25"/>
      <c r="N22" s="96"/>
      <c r="O22" s="25"/>
      <c r="P22" s="96"/>
      <c r="Q22" s="96"/>
      <c r="R22" s="96"/>
      <c r="S22" s="25"/>
      <c r="T22" s="96"/>
      <c r="U22" s="25"/>
      <c r="V22" s="25">
        <f>SUM(B22:T22)</f>
        <v>0</v>
      </c>
    </row>
    <row r="23" spans="1:22" s="24" customFormat="1" ht="15.75" customHeight="1">
      <c r="B23" s="158"/>
      <c r="C23" s="27"/>
      <c r="D23" s="158"/>
      <c r="E23" s="27"/>
      <c r="F23" s="158"/>
      <c r="G23" s="27"/>
      <c r="H23" s="158"/>
      <c r="I23" s="27"/>
      <c r="J23" s="158"/>
      <c r="K23" s="27"/>
      <c r="L23" s="158"/>
      <c r="M23" s="27"/>
      <c r="N23" s="158"/>
      <c r="O23" s="27"/>
      <c r="P23" s="158"/>
      <c r="Q23" s="158"/>
      <c r="R23" s="158"/>
      <c r="S23" s="27"/>
      <c r="T23" s="158"/>
      <c r="U23" s="27"/>
      <c r="V23" s="27">
        <f>SUM(B23:T23)</f>
        <v>0</v>
      </c>
    </row>
    <row r="24" spans="1:22" s="24" customFormat="1" ht="15.75" customHeight="1" thickBot="1">
      <c r="A24" s="24" t="s">
        <v>707</v>
      </c>
      <c r="B24" s="159">
        <f>B13+B21</f>
        <v>28905401.279999997</v>
      </c>
      <c r="C24" s="28"/>
      <c r="D24" s="159">
        <f>D13+D21</f>
        <v>351174.5</v>
      </c>
      <c r="E24" s="28"/>
      <c r="F24" s="159">
        <f>F13+F21</f>
        <v>346361.21</v>
      </c>
      <c r="G24" s="28"/>
      <c r="H24" s="159">
        <f>H13+H21</f>
        <v>40806.379999999997</v>
      </c>
      <c r="I24" s="28"/>
      <c r="J24" s="159">
        <f>J13+J21</f>
        <v>158449.18</v>
      </c>
      <c r="K24" s="28"/>
      <c r="L24" s="159">
        <f>L13+L21</f>
        <v>14420.77</v>
      </c>
      <c r="M24" s="28"/>
      <c r="N24" s="159">
        <f>N13+N21</f>
        <v>1647085.38</v>
      </c>
      <c r="O24" s="28"/>
      <c r="P24" s="159">
        <f>P13+P21</f>
        <v>1309249.94</v>
      </c>
      <c r="Q24" s="159"/>
      <c r="R24" s="159">
        <f>R13+R21</f>
        <v>1034221.0700000001</v>
      </c>
      <c r="S24" s="28"/>
      <c r="T24" s="159">
        <f>T13+T21</f>
        <v>2523377.13</v>
      </c>
      <c r="U24" s="28"/>
      <c r="V24" s="159">
        <f>V13+V21</f>
        <v>36330546.839999996</v>
      </c>
    </row>
    <row r="25" spans="1:22" s="24" customFormat="1" ht="15.75" customHeight="1" thickTop="1">
      <c r="B25" s="96"/>
      <c r="C25" s="25"/>
      <c r="D25" s="96"/>
      <c r="E25" s="25"/>
      <c r="F25" s="96"/>
      <c r="G25" s="25"/>
      <c r="H25" s="96"/>
      <c r="I25" s="25"/>
      <c r="J25" s="96"/>
      <c r="K25" s="25"/>
      <c r="L25" s="96"/>
      <c r="M25" s="25"/>
      <c r="N25" s="96"/>
      <c r="O25" s="25"/>
      <c r="P25" s="96"/>
      <c r="Q25" s="96"/>
      <c r="R25" s="96"/>
      <c r="S25" s="25"/>
      <c r="T25" s="96"/>
      <c r="U25" s="25"/>
      <c r="V25" s="25"/>
    </row>
    <row r="26" spans="1:22" s="24" customFormat="1" ht="15.75" customHeight="1">
      <c r="A26" s="245" t="s">
        <v>290</v>
      </c>
      <c r="B26" s="96"/>
      <c r="C26" s="25"/>
      <c r="D26" s="96"/>
      <c r="E26" s="25"/>
      <c r="F26" s="96"/>
      <c r="G26" s="25"/>
      <c r="H26" s="96"/>
      <c r="I26" s="25"/>
      <c r="J26" s="96"/>
      <c r="K26" s="25"/>
      <c r="L26" s="96"/>
      <c r="M26" s="25"/>
      <c r="N26" s="96"/>
      <c r="O26" s="25"/>
      <c r="P26" s="96"/>
      <c r="Q26" s="96"/>
      <c r="R26" s="96"/>
      <c r="S26" s="25"/>
      <c r="T26" s="96"/>
      <c r="U26" s="25"/>
      <c r="V26" s="25"/>
    </row>
    <row r="27" spans="1:22" s="24" customFormat="1" ht="15.75" customHeight="1">
      <c r="A27" s="24" t="s">
        <v>199</v>
      </c>
      <c r="B27" s="96">
        <v>-1348858.02</v>
      </c>
      <c r="C27" s="25"/>
      <c r="D27" s="96"/>
      <c r="E27" s="25"/>
      <c r="F27" s="96">
        <v>-2768.6</v>
      </c>
      <c r="G27" s="25"/>
      <c r="H27" s="96">
        <v>-2511.06</v>
      </c>
      <c r="I27" s="25"/>
      <c r="J27" s="96">
        <v>-85059.96</v>
      </c>
      <c r="K27" s="25"/>
      <c r="L27" s="96">
        <v>-1995.31</v>
      </c>
      <c r="M27" s="25"/>
      <c r="N27" s="96"/>
      <c r="O27" s="25"/>
      <c r="P27" s="96"/>
      <c r="Q27" s="96"/>
      <c r="R27" s="96">
        <v>-1364</v>
      </c>
      <c r="S27" s="25"/>
      <c r="T27" s="96">
        <f>-51409.41+23213.08</f>
        <v>-28196.33</v>
      </c>
      <c r="U27" s="25"/>
      <c r="V27" s="25">
        <f t="shared" ref="V27:V38" si="1">SUM(B27:T27)</f>
        <v>-1470753.2800000003</v>
      </c>
    </row>
    <row r="28" spans="1:22" s="24" customFormat="1" ht="15.75" customHeight="1">
      <c r="A28" s="24" t="s">
        <v>200</v>
      </c>
      <c r="B28" s="96">
        <v>-3542194.21</v>
      </c>
      <c r="C28" s="25"/>
      <c r="D28" s="96">
        <v>-185749.64</v>
      </c>
      <c r="E28" s="25"/>
      <c r="F28" s="96">
        <v>-81217.95</v>
      </c>
      <c r="G28" s="25"/>
      <c r="H28" s="96"/>
      <c r="I28" s="25"/>
      <c r="J28" s="96">
        <v>-67873.08</v>
      </c>
      <c r="K28" s="25"/>
      <c r="L28" s="96">
        <v>-12296.12</v>
      </c>
      <c r="M28" s="25"/>
      <c r="N28" s="96">
        <v>-7503455.1200000001</v>
      </c>
      <c r="O28" s="25"/>
      <c r="P28" s="96"/>
      <c r="Q28" s="96"/>
      <c r="R28" s="96"/>
      <c r="S28" s="25"/>
      <c r="T28" s="96">
        <v>-537167.09</v>
      </c>
      <c r="U28" s="25"/>
      <c r="V28" s="25">
        <f t="shared" si="1"/>
        <v>-11929953.210000001</v>
      </c>
    </row>
    <row r="29" spans="1:22" s="24" customFormat="1" ht="15.75" customHeight="1">
      <c r="A29" s="24" t="s">
        <v>201</v>
      </c>
      <c r="B29" s="96">
        <v>-13452945.460000001</v>
      </c>
      <c r="C29" s="25"/>
      <c r="D29" s="96"/>
      <c r="E29" s="25"/>
      <c r="F29" s="96"/>
      <c r="G29" s="25"/>
      <c r="H29" s="96"/>
      <c r="I29" s="25"/>
      <c r="J29" s="96"/>
      <c r="K29" s="25"/>
      <c r="L29" s="96"/>
      <c r="M29" s="25"/>
      <c r="N29" s="96"/>
      <c r="O29" s="25"/>
      <c r="P29" s="96"/>
      <c r="Q29" s="96"/>
      <c r="R29" s="96"/>
      <c r="S29" s="25"/>
      <c r="T29" s="96"/>
      <c r="U29" s="25"/>
      <c r="V29" s="25">
        <f t="shared" si="1"/>
        <v>-13452945.460000001</v>
      </c>
    </row>
    <row r="30" spans="1:22" s="24" customFormat="1" ht="15.75" customHeight="1">
      <c r="A30" s="24" t="s">
        <v>43</v>
      </c>
      <c r="B30" s="96">
        <v>-1444410.99</v>
      </c>
      <c r="C30" s="25"/>
      <c r="D30" s="96"/>
      <c r="E30" s="25"/>
      <c r="F30" s="96">
        <v>-5040</v>
      </c>
      <c r="G30" s="25"/>
      <c r="H30" s="96"/>
      <c r="I30" s="25"/>
      <c r="J30" s="96"/>
      <c r="K30" s="25"/>
      <c r="L30" s="96">
        <v>-1050.06</v>
      </c>
      <c r="M30" s="25"/>
      <c r="N30" s="96">
        <f>-522341.19-184630.14</f>
        <v>-706971.33000000007</v>
      </c>
      <c r="O30" s="25"/>
      <c r="P30" s="96">
        <f>-1058739.92+87962</f>
        <v>-970777.91999999993</v>
      </c>
      <c r="Q30" s="96"/>
      <c r="R30" s="96">
        <f>-2716.3-8599.98</f>
        <v>-11316.279999999999</v>
      </c>
      <c r="S30" s="25"/>
      <c r="T30" s="96"/>
      <c r="U30" s="25"/>
      <c r="V30" s="25">
        <f t="shared" si="1"/>
        <v>-3139566.5799999996</v>
      </c>
    </row>
    <row r="31" spans="1:22" s="24" customFormat="1" ht="15.75" customHeight="1">
      <c r="A31" s="24" t="s">
        <v>202</v>
      </c>
      <c r="B31" s="96">
        <v>-383675.18</v>
      </c>
      <c r="C31" s="25"/>
      <c r="D31" s="96"/>
      <c r="E31" s="25"/>
      <c r="F31" s="96">
        <v>-78826.92</v>
      </c>
      <c r="G31" s="25"/>
      <c r="H31" s="96"/>
      <c r="I31" s="25"/>
      <c r="J31" s="96"/>
      <c r="K31" s="25"/>
      <c r="L31" s="96">
        <v>-319.60000000000002</v>
      </c>
      <c r="M31" s="25"/>
      <c r="N31" s="96"/>
      <c r="O31" s="25"/>
      <c r="P31" s="96"/>
      <c r="Q31" s="96"/>
      <c r="R31" s="96"/>
      <c r="S31" s="25"/>
      <c r="T31" s="96"/>
      <c r="U31" s="25"/>
      <c r="V31" s="25">
        <f t="shared" si="1"/>
        <v>-462821.69999999995</v>
      </c>
    </row>
    <row r="32" spans="1:22" s="24" customFormat="1" ht="15.75" customHeight="1">
      <c r="A32" s="24" t="s">
        <v>203</v>
      </c>
      <c r="B32" s="96">
        <v>-152145.68</v>
      </c>
      <c r="C32" s="25"/>
      <c r="D32" s="96"/>
      <c r="E32" s="25"/>
      <c r="F32" s="96">
        <v>-4393.53</v>
      </c>
      <c r="G32" s="25"/>
      <c r="H32" s="96"/>
      <c r="I32" s="25"/>
      <c r="J32" s="96">
        <v>-4609.84</v>
      </c>
      <c r="K32" s="25"/>
      <c r="L32" s="96">
        <v>-310.08</v>
      </c>
      <c r="M32" s="25"/>
      <c r="N32" s="96"/>
      <c r="O32" s="25"/>
      <c r="P32" s="96"/>
      <c r="Q32" s="96"/>
      <c r="R32" s="96"/>
      <c r="S32" s="25"/>
      <c r="T32" s="96"/>
      <c r="U32" s="25"/>
      <c r="V32" s="25">
        <f t="shared" si="1"/>
        <v>-161459.12999999998</v>
      </c>
    </row>
    <row r="33" spans="1:22" s="24" customFormat="1" ht="15.75" customHeight="1">
      <c r="A33" s="24" t="s">
        <v>204</v>
      </c>
      <c r="B33" s="157">
        <v>-919262.77</v>
      </c>
      <c r="C33" s="25"/>
      <c r="D33" s="96"/>
      <c r="E33" s="25"/>
      <c r="F33" s="96"/>
      <c r="G33" s="25"/>
      <c r="H33" s="96"/>
      <c r="I33" s="25"/>
      <c r="J33" s="96"/>
      <c r="K33" s="25"/>
      <c r="L33" s="96"/>
      <c r="M33" s="25"/>
      <c r="N33" s="96"/>
      <c r="O33" s="25"/>
      <c r="P33" s="96"/>
      <c r="Q33" s="96"/>
      <c r="R33" s="96"/>
      <c r="S33" s="25"/>
      <c r="T33" s="96"/>
      <c r="U33" s="25"/>
      <c r="V33" s="25">
        <f t="shared" si="1"/>
        <v>-919262.77</v>
      </c>
    </row>
    <row r="34" spans="1:22" s="24" customFormat="1" ht="15.75" customHeight="1">
      <c r="A34" s="24" t="s">
        <v>742</v>
      </c>
      <c r="B34" s="157">
        <v>-278707.53000000003</v>
      </c>
      <c r="C34" s="25"/>
      <c r="D34" s="96"/>
      <c r="E34" s="25"/>
      <c r="F34" s="96"/>
      <c r="G34" s="25"/>
      <c r="H34" s="96"/>
      <c r="I34" s="25"/>
      <c r="J34" s="96"/>
      <c r="K34" s="25"/>
      <c r="L34" s="96"/>
      <c r="M34" s="25"/>
      <c r="N34" s="96"/>
      <c r="O34" s="25"/>
      <c r="P34" s="96"/>
      <c r="Q34" s="96"/>
      <c r="R34" s="96"/>
      <c r="S34" s="25"/>
      <c r="T34" s="96"/>
      <c r="U34" s="25"/>
      <c r="V34" s="25">
        <f t="shared" si="1"/>
        <v>-278707.53000000003</v>
      </c>
    </row>
    <row r="35" spans="1:22" s="24" customFormat="1" ht="15.75" customHeight="1">
      <c r="A35" s="24" t="s">
        <v>205</v>
      </c>
      <c r="B35" s="157">
        <f>-1154898.64-13047.67-21657-39147-1471781.66-10336.8-16483.27-1265.01-64003.76</f>
        <v>-2792620.8099999991</v>
      </c>
      <c r="C35" s="25"/>
      <c r="D35" s="96"/>
      <c r="E35" s="25"/>
      <c r="F35" s="96"/>
      <c r="G35" s="25"/>
      <c r="H35" s="96"/>
      <c r="I35" s="25"/>
      <c r="J35" s="96"/>
      <c r="K35" s="25"/>
      <c r="L35" s="96"/>
      <c r="M35" s="25"/>
      <c r="N35" s="96"/>
      <c r="O35" s="25"/>
      <c r="P35" s="96"/>
      <c r="Q35" s="96"/>
      <c r="R35" s="96"/>
      <c r="S35" s="25"/>
      <c r="T35" s="96">
        <v>-1900419.68</v>
      </c>
      <c r="U35" s="25"/>
      <c r="V35" s="25">
        <f t="shared" si="1"/>
        <v>-4693040.4899999993</v>
      </c>
    </row>
    <row r="36" spans="1:22" s="24" customFormat="1" ht="15.75" customHeight="1">
      <c r="A36" s="24" t="s">
        <v>239</v>
      </c>
      <c r="B36" s="157">
        <f>-8557.72-2971.12-14536.65-21394.31-1628.56-2564.68-88.44-898.25-77802.9-720.67-40.46</f>
        <v>-131203.76</v>
      </c>
      <c r="C36" s="25"/>
      <c r="D36" s="96"/>
      <c r="E36" s="25"/>
      <c r="F36" s="96"/>
      <c r="G36" s="25"/>
      <c r="H36" s="96"/>
      <c r="I36" s="25"/>
      <c r="J36" s="96"/>
      <c r="K36" s="25"/>
      <c r="L36" s="96"/>
      <c r="M36" s="25"/>
      <c r="N36" s="96"/>
      <c r="O36" s="25"/>
      <c r="P36" s="96"/>
      <c r="Q36" s="96"/>
      <c r="R36" s="96"/>
      <c r="S36" s="25"/>
      <c r="T36" s="96"/>
      <c r="U36" s="25"/>
      <c r="V36" s="25">
        <f t="shared" si="1"/>
        <v>-131203.76</v>
      </c>
    </row>
    <row r="37" spans="1:22" s="24" customFormat="1" ht="15.75" customHeight="1">
      <c r="A37" s="24" t="s">
        <v>672</v>
      </c>
      <c r="B37" s="157">
        <f>-61639.45-28549.55-112500-90000-43143.65-45000-14368-98690-38925.6-35381.55-118076.96</f>
        <v>-686274.76</v>
      </c>
      <c r="C37" s="25"/>
      <c r="D37" s="96"/>
      <c r="E37" s="25"/>
      <c r="F37" s="96"/>
      <c r="G37" s="25"/>
      <c r="H37" s="96"/>
      <c r="I37" s="25"/>
      <c r="J37" s="96"/>
      <c r="K37" s="25"/>
      <c r="L37" s="96"/>
      <c r="M37" s="25"/>
      <c r="N37" s="96"/>
      <c r="O37" s="25"/>
      <c r="P37" s="96"/>
      <c r="Q37" s="96"/>
      <c r="R37" s="96"/>
      <c r="S37" s="25"/>
      <c r="T37" s="96"/>
      <c r="U37" s="25"/>
      <c r="V37" s="25">
        <f t="shared" si="1"/>
        <v>-686274.76</v>
      </c>
    </row>
    <row r="38" spans="1:22" s="24" customFormat="1" ht="15.75" customHeight="1">
      <c r="A38" s="24" t="s">
        <v>673</v>
      </c>
      <c r="B38" s="157">
        <f>-43383.51-1480.69-42342.09</f>
        <v>-87206.290000000008</v>
      </c>
      <c r="C38" s="25"/>
      <c r="D38" s="96"/>
      <c r="E38" s="25"/>
      <c r="F38" s="96"/>
      <c r="G38" s="25"/>
      <c r="H38" s="96"/>
      <c r="I38" s="25"/>
      <c r="J38" s="96"/>
      <c r="K38" s="25"/>
      <c r="L38" s="96"/>
      <c r="M38" s="25"/>
      <c r="N38" s="96"/>
      <c r="O38" s="25"/>
      <c r="P38" s="96"/>
      <c r="Q38" s="96"/>
      <c r="R38" s="96"/>
      <c r="S38" s="25"/>
      <c r="T38" s="96"/>
      <c r="U38" s="25"/>
      <c r="V38" s="25">
        <f t="shared" si="1"/>
        <v>-87206.290000000008</v>
      </c>
    </row>
    <row r="39" spans="1:22" s="24" customFormat="1" ht="15.75" customHeight="1">
      <c r="B39" s="157"/>
      <c r="C39" s="26"/>
      <c r="D39" s="157"/>
      <c r="E39" s="26"/>
      <c r="F39" s="157"/>
      <c r="G39" s="26"/>
      <c r="H39" s="157"/>
      <c r="I39" s="26"/>
      <c r="J39" s="157"/>
      <c r="K39" s="26"/>
      <c r="L39" s="157"/>
      <c r="M39" s="26"/>
      <c r="N39" s="157"/>
      <c r="O39" s="26"/>
      <c r="P39" s="157"/>
      <c r="Q39" s="157"/>
      <c r="R39" s="157"/>
      <c r="S39" s="26"/>
      <c r="T39" s="157"/>
      <c r="U39" s="25"/>
      <c r="V39" s="25"/>
    </row>
    <row r="40" spans="1:22" s="24" customFormat="1" ht="15.75" customHeight="1">
      <c r="A40" s="24" t="s">
        <v>670</v>
      </c>
      <c r="B40" s="160">
        <f>SUM(B27:B39)</f>
        <v>-25219505.460000001</v>
      </c>
      <c r="C40" s="90"/>
      <c r="D40" s="160">
        <f>SUM(D27:D39)</f>
        <v>-185749.64</v>
      </c>
      <c r="E40" s="90"/>
      <c r="F40" s="160">
        <f>SUM(F27:F39)</f>
        <v>-172247</v>
      </c>
      <c r="G40" s="90"/>
      <c r="H40" s="160">
        <f>SUM(H27:H39)</f>
        <v>-2511.06</v>
      </c>
      <c r="I40" s="90"/>
      <c r="J40" s="160">
        <f>SUM(J27:J39)</f>
        <v>-157542.88</v>
      </c>
      <c r="K40" s="90"/>
      <c r="L40" s="160">
        <f>SUM(L27:L39)</f>
        <v>-15971.17</v>
      </c>
      <c r="M40" s="90"/>
      <c r="N40" s="160">
        <f>SUM(N27:N39)</f>
        <v>-8210426.4500000002</v>
      </c>
      <c r="O40" s="90"/>
      <c r="P40" s="160">
        <f>SUM(P27:P39)</f>
        <v>-970777.91999999993</v>
      </c>
      <c r="Q40" s="160"/>
      <c r="R40" s="160">
        <f>SUM(R27:R39)</f>
        <v>-12680.279999999999</v>
      </c>
      <c r="S40" s="90"/>
      <c r="T40" s="160">
        <f>SUM(T27:T39)</f>
        <v>-2465783.0999999996</v>
      </c>
      <c r="U40" s="90"/>
      <c r="V40" s="90">
        <f>SUM(B40:T40)</f>
        <v>-37413194.960000008</v>
      </c>
    </row>
    <row r="41" spans="1:22" s="24" customFormat="1" ht="15.75" customHeight="1">
      <c r="B41" s="96"/>
      <c r="C41" s="25"/>
      <c r="D41" s="96"/>
      <c r="E41" s="25"/>
      <c r="F41" s="96"/>
      <c r="G41" s="25"/>
      <c r="H41" s="96"/>
      <c r="I41" s="25"/>
      <c r="J41" s="96"/>
      <c r="K41" s="25"/>
      <c r="L41" s="96"/>
      <c r="M41" s="25"/>
      <c r="N41" s="96"/>
      <c r="O41" s="25"/>
      <c r="P41" s="96"/>
      <c r="Q41" s="96"/>
      <c r="R41" s="96"/>
      <c r="S41" s="25"/>
      <c r="T41" s="96"/>
      <c r="U41" s="25"/>
      <c r="V41" s="25"/>
    </row>
    <row r="42" spans="1:22" s="24" customFormat="1" ht="15.75" customHeight="1">
      <c r="A42" s="46"/>
      <c r="B42" s="96"/>
      <c r="C42" s="25"/>
      <c r="D42" s="96"/>
      <c r="E42" s="25"/>
      <c r="F42" s="96"/>
      <c r="G42" s="25"/>
      <c r="H42" s="96"/>
      <c r="I42" s="25"/>
      <c r="J42" s="96"/>
      <c r="K42" s="25"/>
      <c r="L42" s="96"/>
      <c r="M42" s="25"/>
      <c r="N42" s="96"/>
      <c r="O42" s="25"/>
      <c r="P42" s="96"/>
      <c r="Q42" s="96"/>
      <c r="R42" s="96"/>
      <c r="S42" s="25"/>
      <c r="T42" s="96"/>
      <c r="U42" s="25"/>
      <c r="V42" s="25"/>
    </row>
    <row r="43" spans="1:22" s="24" customFormat="1" ht="15.75" customHeight="1">
      <c r="A43" s="24" t="s">
        <v>674</v>
      </c>
      <c r="B43" s="96"/>
      <c r="C43" s="25"/>
      <c r="D43" s="96"/>
      <c r="E43" s="25"/>
      <c r="F43" s="96"/>
      <c r="G43" s="25"/>
      <c r="H43" s="96"/>
      <c r="I43" s="25"/>
      <c r="J43" s="96"/>
      <c r="K43" s="25"/>
      <c r="L43" s="96"/>
      <c r="M43" s="25"/>
      <c r="N43" s="96"/>
      <c r="O43" s="25"/>
      <c r="P43" s="96"/>
      <c r="Q43" s="96"/>
      <c r="R43" s="96"/>
      <c r="S43" s="25"/>
      <c r="T43" s="96"/>
      <c r="U43" s="25"/>
      <c r="V43" s="96">
        <f t="shared" ref="V43:V49" si="2">SUM(B43:T43)</f>
        <v>0</v>
      </c>
    </row>
    <row r="44" spans="1:22" s="24" customFormat="1" ht="15.75" customHeight="1">
      <c r="A44" s="24" t="s">
        <v>668</v>
      </c>
      <c r="B44" s="96">
        <v>-3217.29</v>
      </c>
      <c r="C44" s="25"/>
      <c r="D44" s="96"/>
      <c r="E44" s="25"/>
      <c r="F44" s="96"/>
      <c r="G44" s="25"/>
      <c r="H44" s="96"/>
      <c r="I44" s="25"/>
      <c r="J44" s="96"/>
      <c r="K44" s="25"/>
      <c r="L44" s="96"/>
      <c r="M44" s="25"/>
      <c r="N44" s="96"/>
      <c r="O44" s="25"/>
      <c r="P44" s="96"/>
      <c r="Q44" s="96"/>
      <c r="R44" s="96"/>
      <c r="S44" s="25"/>
      <c r="T44" s="96"/>
      <c r="U44" s="25"/>
      <c r="V44" s="96">
        <f t="shared" si="2"/>
        <v>-3217.29</v>
      </c>
    </row>
    <row r="45" spans="1:22" s="24" customFormat="1" ht="15.75" customHeight="1">
      <c r="A45" s="24" t="s">
        <v>761</v>
      </c>
      <c r="B45" s="96">
        <v>-728000</v>
      </c>
      <c r="C45" s="25"/>
      <c r="D45" s="96"/>
      <c r="E45" s="25"/>
      <c r="F45" s="96"/>
      <c r="G45" s="25"/>
      <c r="H45" s="96"/>
      <c r="I45" s="25"/>
      <c r="J45" s="96"/>
      <c r="K45" s="25"/>
      <c r="L45" s="96"/>
      <c r="M45" s="25"/>
      <c r="N45" s="96"/>
      <c r="O45" s="25"/>
      <c r="P45" s="96"/>
      <c r="Q45" s="96"/>
      <c r="R45" s="96"/>
      <c r="S45" s="25"/>
      <c r="T45" s="96"/>
      <c r="U45" s="25"/>
      <c r="V45" s="96">
        <f t="shared" si="2"/>
        <v>-728000</v>
      </c>
    </row>
    <row r="46" spans="1:22" s="24" customFormat="1" ht="15.75" customHeight="1">
      <c r="A46" s="24" t="s">
        <v>667</v>
      </c>
      <c r="B46" s="96">
        <v>0</v>
      </c>
      <c r="C46" s="25"/>
      <c r="D46" s="96"/>
      <c r="E46" s="25"/>
      <c r="F46" s="96"/>
      <c r="G46" s="25"/>
      <c r="H46" s="96"/>
      <c r="I46" s="25"/>
      <c r="J46" s="96"/>
      <c r="K46" s="25"/>
      <c r="L46" s="96"/>
      <c r="M46" s="25"/>
      <c r="N46" s="96"/>
      <c r="O46" s="25"/>
      <c r="P46" s="96">
        <v>-25240</v>
      </c>
      <c r="Q46" s="96"/>
      <c r="R46" s="96"/>
      <c r="S46" s="25"/>
      <c r="T46" s="96"/>
      <c r="U46" s="25"/>
      <c r="V46" s="96">
        <f t="shared" si="2"/>
        <v>-25240</v>
      </c>
    </row>
    <row r="47" spans="1:22" s="24" customFormat="1" ht="15.75" customHeight="1">
      <c r="A47" s="24" t="s">
        <v>680</v>
      </c>
      <c r="B47" s="96">
        <v>0</v>
      </c>
      <c r="C47" s="25"/>
      <c r="D47" s="96"/>
      <c r="E47" s="25"/>
      <c r="F47" s="96"/>
      <c r="G47" s="25"/>
      <c r="H47" s="96">
        <v>-3000</v>
      </c>
      <c r="I47" s="25"/>
      <c r="J47" s="96"/>
      <c r="K47" s="25"/>
      <c r="L47" s="96"/>
      <c r="M47" s="25"/>
      <c r="N47" s="96"/>
      <c r="O47" s="25"/>
      <c r="P47" s="96">
        <v>-87962</v>
      </c>
      <c r="Q47" s="96"/>
      <c r="R47" s="96"/>
      <c r="S47" s="25"/>
      <c r="T47" s="96">
        <v>-23213.08</v>
      </c>
      <c r="U47" s="25"/>
      <c r="V47" s="96">
        <f t="shared" si="2"/>
        <v>-114175.08</v>
      </c>
    </row>
    <row r="48" spans="1:22" s="24" customFormat="1" ht="15.75" customHeight="1">
      <c r="A48" s="24" t="s">
        <v>741</v>
      </c>
      <c r="B48" s="96">
        <v>-919731</v>
      </c>
      <c r="C48" s="25"/>
      <c r="D48" s="96"/>
      <c r="E48" s="25"/>
      <c r="F48" s="96"/>
      <c r="G48" s="25"/>
      <c r="H48" s="96"/>
      <c r="I48" s="25"/>
      <c r="J48" s="96"/>
      <c r="K48" s="25"/>
      <c r="L48" s="96"/>
      <c r="M48" s="25"/>
      <c r="N48" s="96"/>
      <c r="O48" s="25"/>
      <c r="P48" s="96"/>
      <c r="Q48" s="96"/>
      <c r="R48" s="96"/>
      <c r="S48" s="25"/>
      <c r="T48" s="96"/>
      <c r="U48" s="25"/>
      <c r="V48" s="96">
        <f t="shared" si="2"/>
        <v>-919731</v>
      </c>
    </row>
    <row r="49" spans="1:22" s="24" customFormat="1" ht="15.75" customHeight="1">
      <c r="A49" s="24" t="s">
        <v>669</v>
      </c>
      <c r="B49" s="158">
        <v>0</v>
      </c>
      <c r="C49" s="27"/>
      <c r="D49" s="158"/>
      <c r="E49" s="27"/>
      <c r="F49" s="158"/>
      <c r="G49" s="27"/>
      <c r="H49" s="158"/>
      <c r="I49" s="27"/>
      <c r="J49" s="158"/>
      <c r="K49" s="27"/>
      <c r="L49" s="158"/>
      <c r="M49" s="27"/>
      <c r="N49" s="158"/>
      <c r="O49" s="27"/>
      <c r="P49" s="158"/>
      <c r="Q49" s="158"/>
      <c r="R49" s="158"/>
      <c r="S49" s="27"/>
      <c r="T49" s="158"/>
      <c r="U49" s="27"/>
      <c r="V49" s="158">
        <f t="shared" si="2"/>
        <v>0</v>
      </c>
    </row>
    <row r="50" spans="1:22" s="24" customFormat="1" ht="15.75" customHeight="1">
      <c r="A50" s="24" t="s">
        <v>670</v>
      </c>
      <c r="B50" s="96">
        <f>SUM(B44:B49)</f>
        <v>-1650948.29</v>
      </c>
      <c r="C50" s="25"/>
      <c r="D50" s="96">
        <f t="shared" ref="D50:V50" si="3">SUM(D44:D49)</f>
        <v>0</v>
      </c>
      <c r="E50" s="25"/>
      <c r="F50" s="25">
        <f t="shared" si="3"/>
        <v>0</v>
      </c>
      <c r="G50" s="25"/>
      <c r="H50" s="96">
        <f t="shared" si="3"/>
        <v>-3000</v>
      </c>
      <c r="I50" s="25"/>
      <c r="J50" s="96">
        <f t="shared" si="3"/>
        <v>0</v>
      </c>
      <c r="K50" s="25"/>
      <c r="L50" s="96">
        <f t="shared" si="3"/>
        <v>0</v>
      </c>
      <c r="M50" s="25"/>
      <c r="N50" s="96">
        <f t="shared" si="3"/>
        <v>0</v>
      </c>
      <c r="O50" s="25"/>
      <c r="P50" s="96">
        <f t="shared" si="3"/>
        <v>-113202</v>
      </c>
      <c r="Q50" s="25"/>
      <c r="R50" s="96">
        <f t="shared" si="3"/>
        <v>0</v>
      </c>
      <c r="S50" s="25"/>
      <c r="T50" s="96">
        <f t="shared" si="3"/>
        <v>-23213.08</v>
      </c>
      <c r="U50" s="25"/>
      <c r="V50" s="25">
        <f t="shared" si="3"/>
        <v>-1790363.37</v>
      </c>
    </row>
    <row r="51" spans="1:22" s="24" customFormat="1" ht="15.75" customHeight="1">
      <c r="B51" s="96"/>
      <c r="C51" s="25"/>
      <c r="D51" s="96"/>
      <c r="E51" s="25"/>
      <c r="F51" s="25"/>
      <c r="G51" s="25"/>
      <c r="H51" s="96"/>
      <c r="I51" s="25"/>
      <c r="J51" s="96"/>
      <c r="K51" s="25"/>
      <c r="L51" s="96"/>
      <c r="M51" s="25"/>
      <c r="N51" s="96"/>
      <c r="O51" s="25"/>
      <c r="P51" s="96"/>
      <c r="Q51" s="25"/>
      <c r="R51" s="96"/>
      <c r="S51" s="25"/>
      <c r="T51" s="96"/>
      <c r="U51" s="25"/>
      <c r="V51" s="25"/>
    </row>
    <row r="52" spans="1:22" s="24" customFormat="1" ht="15.75" customHeight="1">
      <c r="A52" s="24" t="s">
        <v>708</v>
      </c>
      <c r="B52" s="96">
        <f>B40+B50</f>
        <v>-26870453.75</v>
      </c>
      <c r="C52" s="25"/>
      <c r="D52" s="96">
        <f t="shared" ref="D52:V52" si="4">D40+D50</f>
        <v>-185749.64</v>
      </c>
      <c r="E52" s="25"/>
      <c r="F52" s="25">
        <f t="shared" si="4"/>
        <v>-172247</v>
      </c>
      <c r="G52" s="25"/>
      <c r="H52" s="96">
        <f t="shared" si="4"/>
        <v>-5511.0599999999995</v>
      </c>
      <c r="I52" s="25"/>
      <c r="J52" s="96">
        <f t="shared" si="4"/>
        <v>-157542.88</v>
      </c>
      <c r="K52" s="25"/>
      <c r="L52" s="96">
        <f t="shared" si="4"/>
        <v>-15971.17</v>
      </c>
      <c r="M52" s="25"/>
      <c r="N52" s="96">
        <f t="shared" si="4"/>
        <v>-8210426.4500000002</v>
      </c>
      <c r="O52" s="25"/>
      <c r="P52" s="96">
        <f t="shared" si="4"/>
        <v>-1083979.92</v>
      </c>
      <c r="Q52" s="25"/>
      <c r="R52" s="96">
        <f t="shared" si="4"/>
        <v>-12680.279999999999</v>
      </c>
      <c r="S52" s="25"/>
      <c r="T52" s="96">
        <f t="shared" si="4"/>
        <v>-2488996.1799999997</v>
      </c>
      <c r="U52" s="25"/>
      <c r="V52" s="25">
        <f t="shared" si="4"/>
        <v>-39203558.330000006</v>
      </c>
    </row>
    <row r="53" spans="1:22" s="24" customFormat="1" ht="15.75" customHeight="1">
      <c r="B53" s="96"/>
      <c r="C53" s="25"/>
      <c r="D53" s="96"/>
      <c r="E53" s="25"/>
      <c r="F53" s="96"/>
      <c r="G53" s="25"/>
      <c r="H53" s="96"/>
      <c r="I53" s="25"/>
      <c r="J53" s="96"/>
      <c r="K53" s="25"/>
      <c r="L53" s="96"/>
      <c r="M53" s="25"/>
      <c r="N53" s="96"/>
      <c r="O53" s="25"/>
      <c r="P53" s="96"/>
      <c r="Q53" s="96"/>
      <c r="R53" s="96"/>
      <c r="S53" s="25"/>
      <c r="T53" s="96"/>
      <c r="U53" s="25"/>
      <c r="V53" s="96">
        <f>SUM(B53:T53)</f>
        <v>0</v>
      </c>
    </row>
    <row r="54" spans="1:22" s="24" customFormat="1" ht="15.75" customHeight="1">
      <c r="A54" s="24" t="s">
        <v>675</v>
      </c>
      <c r="B54" s="96">
        <f>B24+B52</f>
        <v>2034947.5299999975</v>
      </c>
      <c r="C54" s="25"/>
      <c r="D54" s="96">
        <f>D24+D52</f>
        <v>165424.85999999999</v>
      </c>
      <c r="E54" s="25"/>
      <c r="F54" s="25">
        <f>F24+F52</f>
        <v>174114.21000000002</v>
      </c>
      <c r="G54" s="25"/>
      <c r="H54" s="96">
        <f>H24+H52</f>
        <v>35295.32</v>
      </c>
      <c r="I54" s="25"/>
      <c r="J54" s="96">
        <f>J24+J52</f>
        <v>906.29999999998836</v>
      </c>
      <c r="K54" s="25"/>
      <c r="L54" s="96">
        <f>L24+L52</f>
        <v>-1550.3999999999996</v>
      </c>
      <c r="M54" s="25"/>
      <c r="N54" s="96">
        <f>N24+N52</f>
        <v>-6563341.0700000003</v>
      </c>
      <c r="O54" s="25"/>
      <c r="P54" s="96">
        <f>P24+P52</f>
        <v>225270.02000000002</v>
      </c>
      <c r="Q54" s="96"/>
      <c r="R54" s="96">
        <f>R24+R52</f>
        <v>1021540.79</v>
      </c>
      <c r="S54" s="25"/>
      <c r="T54" s="96">
        <f>T24+T52</f>
        <v>34380.950000000186</v>
      </c>
      <c r="U54" s="25"/>
      <c r="V54" s="25">
        <f>V24+V52</f>
        <v>-2873011.4900000095</v>
      </c>
    </row>
    <row r="55" spans="1:22" s="24" customFormat="1" ht="15.75" customHeight="1">
      <c r="B55" s="96"/>
      <c r="C55" s="25"/>
      <c r="D55" s="96"/>
      <c r="E55" s="25"/>
      <c r="F55" s="25"/>
      <c r="G55" s="25"/>
      <c r="H55" s="96"/>
      <c r="I55" s="25"/>
      <c r="J55" s="96"/>
      <c r="K55" s="25"/>
      <c r="L55" s="96"/>
      <c r="M55" s="25"/>
      <c r="N55" s="96"/>
      <c r="O55" s="25"/>
      <c r="P55" s="96"/>
      <c r="Q55" s="96"/>
      <c r="R55" s="96"/>
      <c r="S55" s="25"/>
      <c r="T55" s="96"/>
      <c r="U55" s="25"/>
      <c r="V55" s="25"/>
    </row>
    <row r="56" spans="1:22" s="24" customFormat="1" ht="15.75" customHeight="1">
      <c r="A56" s="24" t="s">
        <v>678</v>
      </c>
      <c r="B56" s="96">
        <v>3116326.39</v>
      </c>
      <c r="C56" s="25"/>
      <c r="D56" s="96">
        <v>-10007.82</v>
      </c>
      <c r="E56" s="25"/>
      <c r="F56" s="25">
        <v>61305.94</v>
      </c>
      <c r="G56" s="25"/>
      <c r="H56" s="96">
        <v>314069.31</v>
      </c>
      <c r="I56" s="25"/>
      <c r="J56" s="96">
        <v>139961.29999999999</v>
      </c>
      <c r="K56" s="25"/>
      <c r="L56" s="96">
        <v>167736.41</v>
      </c>
      <c r="M56" s="25"/>
      <c r="N56" s="96">
        <v>4978484.3600000003</v>
      </c>
      <c r="O56" s="25"/>
      <c r="P56" s="96">
        <v>259233.1</v>
      </c>
      <c r="Q56" s="96"/>
      <c r="R56" s="96">
        <v>4698776.4800000004</v>
      </c>
      <c r="S56" s="25"/>
      <c r="T56" s="96">
        <v>0</v>
      </c>
      <c r="U56" s="25"/>
      <c r="V56" s="25">
        <f>SUM(B56:T56)</f>
        <v>13725885.470000001</v>
      </c>
    </row>
    <row r="57" spans="1:22" s="24" customFormat="1" ht="15.75" customHeight="1">
      <c r="B57" s="96"/>
      <c r="C57" s="25"/>
      <c r="D57" s="96"/>
      <c r="E57" s="25"/>
      <c r="F57" s="25"/>
      <c r="G57" s="25"/>
      <c r="H57" s="96"/>
      <c r="I57" s="25"/>
      <c r="J57" s="96"/>
      <c r="K57" s="25"/>
      <c r="L57" s="96"/>
      <c r="M57" s="25"/>
      <c r="N57" s="96"/>
      <c r="O57" s="25"/>
      <c r="P57" s="96"/>
      <c r="Q57" s="96"/>
      <c r="R57" s="96"/>
      <c r="S57" s="25"/>
      <c r="T57" s="96"/>
      <c r="U57" s="25"/>
      <c r="V57" s="25"/>
    </row>
    <row r="58" spans="1:22" s="24" customFormat="1" ht="15.75" customHeight="1">
      <c r="A58" s="24" t="s">
        <v>7</v>
      </c>
      <c r="B58" s="157">
        <v>0</v>
      </c>
      <c r="C58" s="26"/>
      <c r="D58" s="157"/>
      <c r="E58" s="26"/>
      <c r="F58" s="157"/>
      <c r="G58" s="26"/>
      <c r="H58" s="157"/>
      <c r="I58" s="26"/>
      <c r="J58" s="157"/>
      <c r="K58" s="26"/>
      <c r="L58" s="157"/>
      <c r="M58" s="26"/>
      <c r="N58" s="157"/>
      <c r="O58" s="26"/>
      <c r="P58" s="157"/>
      <c r="Q58" s="157"/>
      <c r="R58" s="157"/>
      <c r="S58" s="26"/>
      <c r="T58" s="157">
        <v>-34380.949999999997</v>
      </c>
      <c r="U58" s="25"/>
      <c r="V58" s="25">
        <f t="shared" ref="V58" si="5">SUM(B58:T58)</f>
        <v>-34380.949999999997</v>
      </c>
    </row>
    <row r="59" spans="1:22" s="24" customFormat="1" ht="15.75" customHeight="1">
      <c r="B59" s="96"/>
      <c r="C59" s="25"/>
      <c r="D59" s="96"/>
      <c r="E59" s="25"/>
      <c r="F59" s="25"/>
      <c r="G59" s="25"/>
      <c r="H59" s="96"/>
      <c r="I59" s="25"/>
      <c r="J59" s="96"/>
      <c r="K59" s="25"/>
      <c r="L59" s="96"/>
      <c r="M59" s="25"/>
      <c r="N59" s="96"/>
      <c r="O59" s="25"/>
      <c r="P59" s="96"/>
      <c r="Q59" s="96"/>
      <c r="R59" s="96"/>
      <c r="S59" s="25"/>
      <c r="T59" s="96"/>
      <c r="U59" s="25"/>
      <c r="V59" s="25"/>
    </row>
    <row r="60" spans="1:22" s="24" customFormat="1" ht="15.75" customHeight="1">
      <c r="A60" s="24" t="s">
        <v>679</v>
      </c>
      <c r="B60" s="96">
        <f>SUM(B54:B59)</f>
        <v>5151273.9199999981</v>
      </c>
      <c r="C60" s="25"/>
      <c r="D60" s="96">
        <f>SUM(D54:D59)</f>
        <v>155417.03999999998</v>
      </c>
      <c r="E60" s="25"/>
      <c r="F60" s="96">
        <f>SUM(F54:F59)</f>
        <v>235420.15000000002</v>
      </c>
      <c r="G60" s="25"/>
      <c r="H60" s="96">
        <f>SUM(H54:H59)</f>
        <v>349364.63</v>
      </c>
      <c r="I60" s="25"/>
      <c r="J60" s="96">
        <f>SUM(J54:J59)</f>
        <v>140867.59999999998</v>
      </c>
      <c r="K60" s="25"/>
      <c r="L60" s="96">
        <f>SUM(L54:L59)</f>
        <v>166186.01</v>
      </c>
      <c r="M60" s="25"/>
      <c r="N60" s="96">
        <f>SUM(N54:N59)</f>
        <v>-1584856.71</v>
      </c>
      <c r="O60" s="25"/>
      <c r="P60" s="96">
        <f>SUM(P54:P59)</f>
        <v>484503.12</v>
      </c>
      <c r="Q60" s="96"/>
      <c r="R60" s="96">
        <f>SUM(R54:R59)</f>
        <v>5720317.2700000005</v>
      </c>
      <c r="S60" s="25"/>
      <c r="T60" s="96">
        <f>SUM(T54:T59)</f>
        <v>1.8917489796876907E-10</v>
      </c>
      <c r="U60" s="25"/>
      <c r="V60" s="96">
        <f>SUM(V54:V59)</f>
        <v>10818493.029999992</v>
      </c>
    </row>
    <row r="61" spans="1:22" ht="15.75" customHeight="1">
      <c r="B61" s="237"/>
    </row>
    <row r="71" spans="1:1" ht="12" customHeight="1">
      <c r="A71" s="215" t="s">
        <v>571</v>
      </c>
    </row>
    <row r="72" spans="1:1" ht="15.75" customHeight="1">
      <c r="A72" s="215" t="s">
        <v>572</v>
      </c>
    </row>
    <row r="73" spans="1:1" ht="15.75" customHeight="1">
      <c r="A73" s="215" t="s">
        <v>573</v>
      </c>
    </row>
  </sheetData>
  <mergeCells count="6">
    <mergeCell ref="A1:K1"/>
    <mergeCell ref="L1:V1"/>
    <mergeCell ref="A2:K2"/>
    <mergeCell ref="L2:V2"/>
    <mergeCell ref="A3:K3"/>
    <mergeCell ref="L3:V3"/>
  </mergeCells>
  <pageMargins left="0.25" right="0.25" top="0.75" bottom="0.75" header="0.3" footer="0.3"/>
  <pageSetup scale="3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rgb="FFFFFF00"/>
    <pageSetUpPr fitToPage="1"/>
  </sheetPr>
  <dimension ref="A1:M96"/>
  <sheetViews>
    <sheetView topLeftCell="A48" zoomScaleNormal="100" workbookViewId="0">
      <selection activeCell="F32" sqref="F32"/>
    </sheetView>
  </sheetViews>
  <sheetFormatPr defaultRowHeight="15" customHeight="1"/>
  <cols>
    <col min="1" max="4" width="15.77734375" customWidth="1"/>
    <col min="5" max="7" width="17.109375" customWidth="1"/>
    <col min="8" max="8" width="14.21875" customWidth="1"/>
    <col min="10" max="10" width="14.5546875" bestFit="1" customWidth="1"/>
  </cols>
  <sheetData>
    <row r="1" spans="1:13" ht="15" customHeight="1">
      <c r="A1" s="260" t="s">
        <v>45</v>
      </c>
      <c r="B1" s="259"/>
      <c r="C1" s="259"/>
      <c r="D1" s="259"/>
      <c r="E1" s="259"/>
      <c r="F1" s="259"/>
      <c r="G1" s="259"/>
    </row>
    <row r="3" spans="1:13" ht="15" customHeight="1">
      <c r="A3" s="260" t="s">
        <v>834</v>
      </c>
      <c r="B3" s="259"/>
      <c r="C3" s="259"/>
      <c r="D3" s="259"/>
      <c r="E3" s="259"/>
      <c r="F3" s="259"/>
      <c r="G3" s="259"/>
    </row>
    <row r="5" spans="1:13" ht="15" customHeight="1">
      <c r="A5" s="260" t="s">
        <v>694</v>
      </c>
      <c r="B5" s="259"/>
      <c r="C5" s="259"/>
      <c r="D5" s="259"/>
      <c r="E5" s="259"/>
      <c r="F5" s="259"/>
      <c r="G5" s="259"/>
    </row>
    <row r="6" spans="1:13" ht="15" customHeight="1">
      <c r="A6" s="223"/>
      <c r="B6" s="221"/>
      <c r="C6" s="221"/>
      <c r="D6" s="221"/>
      <c r="E6" s="221"/>
      <c r="F6" s="221"/>
      <c r="G6" s="220" t="s">
        <v>618</v>
      </c>
    </row>
    <row r="7" spans="1:13" ht="15" customHeight="1">
      <c r="G7" s="220" t="s">
        <v>619</v>
      </c>
    </row>
    <row r="8" spans="1:13" ht="15" customHeight="1">
      <c r="A8" s="1"/>
      <c r="B8" s="1"/>
      <c r="C8" s="1"/>
      <c r="D8" s="1"/>
      <c r="E8" s="4" t="s">
        <v>181</v>
      </c>
      <c r="F8" s="4" t="s">
        <v>182</v>
      </c>
      <c r="G8" s="4" t="s">
        <v>183</v>
      </c>
    </row>
    <row r="9" spans="1:13" ht="15" customHeight="1">
      <c r="A9" s="2" t="s">
        <v>184</v>
      </c>
      <c r="B9" s="1"/>
      <c r="C9" s="1"/>
      <c r="D9" s="1"/>
      <c r="E9" s="1"/>
      <c r="F9" s="1"/>
      <c r="G9" s="1"/>
    </row>
    <row r="10" spans="1:13" ht="15" customHeight="1">
      <c r="A10" s="1" t="s">
        <v>334</v>
      </c>
      <c r="B10" s="1"/>
      <c r="C10" s="1"/>
      <c r="D10" s="1"/>
      <c r="E10" s="72">
        <v>1456390.38</v>
      </c>
      <c r="F10" s="72">
        <v>1444501.49</v>
      </c>
      <c r="G10" s="13">
        <f>F10-E10</f>
        <v>-11888.889999999898</v>
      </c>
      <c r="H10" s="14"/>
      <c r="I10" s="14"/>
      <c r="J10" s="14"/>
    </row>
    <row r="11" spans="1:13" ht="15" customHeight="1">
      <c r="A11" s="1" t="s">
        <v>185</v>
      </c>
      <c r="B11" s="1"/>
      <c r="C11" s="1"/>
      <c r="D11" s="1"/>
      <c r="E11" s="72">
        <f>20619522.54-649592.36</f>
        <v>19969930.18</v>
      </c>
      <c r="F11" s="72">
        <v>20126324.530000001</v>
      </c>
      <c r="G11" s="13">
        <f t="shared" ref="G11:G15" si="0">F11-E11</f>
        <v>156394.35000000149</v>
      </c>
      <c r="H11" s="14"/>
      <c r="I11" s="14"/>
      <c r="J11" s="14"/>
    </row>
    <row r="12" spans="1:13" ht="15" customHeight="1">
      <c r="A12" s="1" t="s">
        <v>143</v>
      </c>
      <c r="B12" s="1"/>
      <c r="C12" s="1"/>
      <c r="D12" s="1"/>
      <c r="E12" s="72">
        <v>0</v>
      </c>
      <c r="F12" s="72">
        <v>283404.12</v>
      </c>
      <c r="G12" s="13">
        <f t="shared" si="0"/>
        <v>283404.12</v>
      </c>
      <c r="H12" s="93"/>
      <c r="I12" s="93"/>
      <c r="J12" s="93"/>
      <c r="K12" s="184"/>
      <c r="L12" s="184"/>
      <c r="M12" s="184"/>
    </row>
    <row r="13" spans="1:13" ht="15" hidden="1" customHeight="1">
      <c r="A13" s="1" t="s">
        <v>90</v>
      </c>
      <c r="B13" s="1"/>
      <c r="C13" s="1"/>
      <c r="D13" s="1"/>
      <c r="E13" s="72">
        <v>0</v>
      </c>
      <c r="F13" s="72">
        <v>0</v>
      </c>
      <c r="G13" s="13">
        <f t="shared" si="0"/>
        <v>0</v>
      </c>
      <c r="H13" s="93"/>
      <c r="I13" s="93"/>
      <c r="J13" s="93"/>
      <c r="K13" s="184"/>
      <c r="L13" s="184"/>
      <c r="M13" s="184"/>
    </row>
    <row r="14" spans="1:13" ht="15" customHeight="1">
      <c r="A14" s="1" t="s">
        <v>383</v>
      </c>
      <c r="B14" s="1"/>
      <c r="C14" s="1"/>
      <c r="D14" s="1"/>
      <c r="E14" s="72">
        <v>0</v>
      </c>
      <c r="F14" s="72">
        <v>13627.34</v>
      </c>
      <c r="G14" s="13">
        <f t="shared" si="0"/>
        <v>13627.34</v>
      </c>
      <c r="H14" s="93"/>
      <c r="I14" s="93"/>
      <c r="J14" s="93"/>
      <c r="K14" s="184"/>
      <c r="L14" s="184"/>
      <c r="M14" s="184"/>
    </row>
    <row r="15" spans="1:13" ht="15" customHeight="1">
      <c r="A15" s="1" t="s">
        <v>35</v>
      </c>
      <c r="B15" s="1"/>
      <c r="C15" s="1"/>
      <c r="D15" s="1"/>
      <c r="E15" s="72"/>
      <c r="F15" s="72"/>
      <c r="G15" s="13">
        <f t="shared" si="0"/>
        <v>0</v>
      </c>
      <c r="H15" s="93"/>
      <c r="I15" s="93"/>
      <c r="J15" s="93"/>
      <c r="K15" s="184"/>
      <c r="L15" s="184"/>
      <c r="M15" s="184"/>
    </row>
    <row r="16" spans="1:13" ht="15" customHeight="1">
      <c r="A16" s="1" t="s">
        <v>186</v>
      </c>
      <c r="B16" s="1"/>
      <c r="C16" s="1"/>
      <c r="D16" s="1"/>
      <c r="E16" s="88">
        <f>SUM(E10:E15)</f>
        <v>21426320.559999999</v>
      </c>
      <c r="F16" s="88">
        <f>SUM(F10:F15)</f>
        <v>21867857.48</v>
      </c>
      <c r="G16" s="79">
        <f>SUM(G10:G15)</f>
        <v>441536.92000000161</v>
      </c>
      <c r="H16" s="93"/>
      <c r="I16" s="93"/>
      <c r="J16" s="93"/>
      <c r="K16" s="184"/>
      <c r="L16" s="184"/>
      <c r="M16" s="184"/>
    </row>
    <row r="17" spans="1:13" ht="15" customHeight="1">
      <c r="E17" s="74"/>
      <c r="F17" s="74"/>
      <c r="G17" s="14"/>
      <c r="H17" s="93"/>
      <c r="I17" s="93"/>
      <c r="J17" s="93"/>
      <c r="K17" s="184"/>
      <c r="L17" s="184"/>
      <c r="M17" s="184"/>
    </row>
    <row r="18" spans="1:13" ht="15" customHeight="1">
      <c r="A18" s="2" t="s">
        <v>187</v>
      </c>
      <c r="B18" s="1"/>
      <c r="C18" s="1"/>
      <c r="D18" s="1"/>
      <c r="E18" s="72"/>
      <c r="F18" s="72"/>
      <c r="G18" s="13"/>
      <c r="H18" s="93"/>
      <c r="I18" s="93"/>
      <c r="J18" s="148"/>
      <c r="K18" s="184"/>
      <c r="L18" s="184"/>
      <c r="M18" s="184"/>
    </row>
    <row r="19" spans="1:13" ht="15" customHeight="1">
      <c r="A19" s="1" t="s">
        <v>188</v>
      </c>
      <c r="B19" s="1"/>
      <c r="C19" s="1"/>
      <c r="D19" s="1"/>
      <c r="E19" s="72">
        <v>1700000</v>
      </c>
      <c r="F19" s="72">
        <v>1853707.41</v>
      </c>
      <c r="G19" s="13">
        <f t="shared" ref="G19:G36" si="1">F19-E19</f>
        <v>153707.40999999992</v>
      </c>
      <c r="H19" s="93"/>
      <c r="I19" s="93"/>
      <c r="J19" s="93"/>
      <c r="K19" s="184"/>
      <c r="L19" s="184"/>
      <c r="M19" s="184"/>
    </row>
    <row r="20" spans="1:13" ht="15" customHeight="1">
      <c r="A20" s="1" t="s">
        <v>189</v>
      </c>
      <c r="B20" s="1"/>
      <c r="C20" s="1"/>
      <c r="D20" s="1"/>
      <c r="E20" s="72">
        <v>5800</v>
      </c>
      <c r="F20" s="72">
        <v>5801</v>
      </c>
      <c r="G20" s="13">
        <f t="shared" si="1"/>
        <v>1</v>
      </c>
      <c r="H20" s="93"/>
      <c r="I20" s="93"/>
      <c r="J20" s="93"/>
      <c r="K20" s="184"/>
      <c r="L20" s="184"/>
      <c r="M20" s="184"/>
    </row>
    <row r="21" spans="1:13" ht="15" customHeight="1">
      <c r="A21" s="1" t="s">
        <v>733</v>
      </c>
      <c r="B21" s="1"/>
      <c r="C21" s="1"/>
      <c r="D21" s="1"/>
      <c r="E21" s="72">
        <v>0</v>
      </c>
      <c r="F21" s="72">
        <f>3958.54+172.68</f>
        <v>4131.22</v>
      </c>
      <c r="G21" s="13">
        <f t="shared" si="1"/>
        <v>4131.22</v>
      </c>
      <c r="H21" s="93"/>
      <c r="I21" s="93"/>
      <c r="J21" s="93"/>
      <c r="K21" s="184"/>
      <c r="L21" s="184"/>
      <c r="M21" s="184"/>
    </row>
    <row r="22" spans="1:13" ht="15" customHeight="1">
      <c r="A22" s="1" t="s">
        <v>146</v>
      </c>
      <c r="B22" s="1"/>
      <c r="C22" s="1"/>
      <c r="D22" s="1"/>
      <c r="E22" s="72">
        <v>120000</v>
      </c>
      <c r="F22" s="72">
        <v>248921.55</v>
      </c>
      <c r="G22" s="13">
        <f t="shared" si="1"/>
        <v>128921.54999999999</v>
      </c>
      <c r="H22" s="148"/>
      <c r="I22" s="93"/>
      <c r="J22" s="93"/>
      <c r="K22" s="184"/>
      <c r="L22" s="184"/>
      <c r="M22" s="184"/>
    </row>
    <row r="23" spans="1:13" ht="15" customHeight="1">
      <c r="A23" s="1" t="s">
        <v>564</v>
      </c>
      <c r="B23" s="1"/>
      <c r="C23" s="1"/>
      <c r="D23" s="1"/>
      <c r="E23" s="72">
        <v>265000</v>
      </c>
      <c r="F23" s="72">
        <v>313750</v>
      </c>
      <c r="G23" s="13">
        <f t="shared" si="1"/>
        <v>48750</v>
      </c>
      <c r="H23" s="93"/>
      <c r="I23" s="93"/>
      <c r="J23" s="93"/>
      <c r="K23" s="184"/>
      <c r="L23" s="184"/>
      <c r="M23" s="184"/>
    </row>
    <row r="24" spans="1:13" ht="15" customHeight="1">
      <c r="A24" s="1" t="s">
        <v>147</v>
      </c>
      <c r="B24" s="1"/>
      <c r="C24" s="1"/>
      <c r="D24" s="1"/>
      <c r="E24" s="72">
        <v>162000</v>
      </c>
      <c r="F24" s="72">
        <f>250878.32</f>
        <v>250878.32</v>
      </c>
      <c r="G24" s="13">
        <f t="shared" si="1"/>
        <v>88878.32</v>
      </c>
      <c r="H24" s="148"/>
      <c r="I24" s="93"/>
      <c r="J24" s="93"/>
      <c r="K24" s="184"/>
      <c r="L24" s="184"/>
      <c r="M24" s="184"/>
    </row>
    <row r="25" spans="1:13" ht="15" customHeight="1">
      <c r="A25" s="1" t="s">
        <v>563</v>
      </c>
      <c r="B25" s="1"/>
      <c r="C25" s="1"/>
      <c r="D25" s="1"/>
      <c r="E25" s="72">
        <v>350000</v>
      </c>
      <c r="F25" s="72">
        <v>623773.6</v>
      </c>
      <c r="G25" s="13">
        <f>F25-E25</f>
        <v>273773.59999999998</v>
      </c>
      <c r="H25" s="93"/>
      <c r="I25" s="93"/>
      <c r="J25" s="93"/>
      <c r="K25" s="184"/>
      <c r="L25" s="184"/>
      <c r="M25" s="184"/>
    </row>
    <row r="26" spans="1:13" ht="15" hidden="1" customHeight="1">
      <c r="A26" s="1" t="s">
        <v>410</v>
      </c>
      <c r="B26" s="1"/>
      <c r="C26" s="1"/>
      <c r="D26" s="1"/>
      <c r="E26" s="72">
        <v>0</v>
      </c>
      <c r="F26" s="72">
        <v>0</v>
      </c>
      <c r="G26" s="13">
        <f t="shared" si="1"/>
        <v>0</v>
      </c>
      <c r="H26" s="93"/>
      <c r="I26" s="93"/>
      <c r="J26" s="93"/>
      <c r="K26" s="184"/>
      <c r="L26" s="184"/>
      <c r="M26" s="184"/>
    </row>
    <row r="27" spans="1:13" ht="15" customHeight="1">
      <c r="A27" s="1" t="s">
        <v>6</v>
      </c>
      <c r="B27" s="1"/>
      <c r="C27" s="1"/>
      <c r="D27" s="1"/>
      <c r="E27" s="72">
        <v>35000</v>
      </c>
      <c r="F27" s="72">
        <v>57057.1</v>
      </c>
      <c r="G27" s="13">
        <f t="shared" si="1"/>
        <v>22057.1</v>
      </c>
      <c r="H27" s="148"/>
      <c r="I27" s="184"/>
      <c r="J27" s="93"/>
      <c r="K27" s="184"/>
      <c r="L27" s="184"/>
      <c r="M27" s="184"/>
    </row>
    <row r="28" spans="1:13" ht="15" customHeight="1">
      <c r="A28" s="1" t="s">
        <v>620</v>
      </c>
      <c r="B28" s="1"/>
      <c r="C28" s="1"/>
      <c r="D28" s="1"/>
      <c r="E28" s="72">
        <v>5000</v>
      </c>
      <c r="F28" s="72">
        <v>6750</v>
      </c>
      <c r="G28" s="13">
        <f t="shared" si="1"/>
        <v>1750</v>
      </c>
      <c r="H28" s="148"/>
      <c r="I28" s="184"/>
      <c r="J28" s="93"/>
      <c r="K28" s="184"/>
      <c r="L28" s="184"/>
      <c r="M28" s="184"/>
    </row>
    <row r="29" spans="1:13" ht="15" customHeight="1">
      <c r="A29" s="1" t="s">
        <v>621</v>
      </c>
      <c r="B29" s="1"/>
      <c r="C29" s="1"/>
      <c r="D29" s="1"/>
      <c r="E29" s="72">
        <v>19000</v>
      </c>
      <c r="F29" s="72">
        <v>33936</v>
      </c>
      <c r="G29" s="13">
        <f t="shared" si="1"/>
        <v>14936</v>
      </c>
      <c r="H29" s="148"/>
      <c r="I29" s="184"/>
      <c r="J29" s="93"/>
      <c r="K29" s="184"/>
      <c r="L29" s="184"/>
      <c r="M29" s="184"/>
    </row>
    <row r="30" spans="1:13" ht="15" customHeight="1">
      <c r="A30" s="1" t="s">
        <v>622</v>
      </c>
      <c r="B30" s="1"/>
      <c r="C30" s="1"/>
      <c r="D30" s="1"/>
      <c r="E30" s="72">
        <v>108672</v>
      </c>
      <c r="F30" s="72">
        <v>628046.82999999996</v>
      </c>
      <c r="G30" s="13">
        <f t="shared" si="1"/>
        <v>519374.82999999996</v>
      </c>
      <c r="H30" s="148"/>
      <c r="I30" s="93"/>
      <c r="J30" s="93"/>
      <c r="K30" s="184"/>
      <c r="L30" s="184"/>
      <c r="M30" s="184"/>
    </row>
    <row r="31" spans="1:13" ht="15" customHeight="1">
      <c r="A31" s="1" t="s">
        <v>36</v>
      </c>
      <c r="B31" s="1"/>
      <c r="C31" s="1"/>
      <c r="D31" s="1"/>
      <c r="E31" s="72">
        <v>0</v>
      </c>
      <c r="F31" s="72">
        <v>13721.43</v>
      </c>
      <c r="G31" s="13">
        <f t="shared" si="1"/>
        <v>13721.43</v>
      </c>
      <c r="H31" s="93"/>
      <c r="I31" s="184"/>
      <c r="J31" s="93"/>
      <c r="K31" s="184"/>
      <c r="L31" s="184"/>
      <c r="M31" s="184"/>
    </row>
    <row r="32" spans="1:13" ht="15" customHeight="1">
      <c r="A32" s="1" t="s">
        <v>148</v>
      </c>
      <c r="B32" s="1"/>
      <c r="C32" s="1"/>
      <c r="D32" s="1"/>
      <c r="E32" s="72">
        <v>38000</v>
      </c>
      <c r="F32" s="72">
        <v>41894.69</v>
      </c>
      <c r="G32" s="13">
        <f t="shared" si="1"/>
        <v>3894.6900000000023</v>
      </c>
      <c r="H32" s="148"/>
      <c r="I32" s="93"/>
      <c r="J32" s="93"/>
      <c r="K32" s="184"/>
      <c r="L32" s="184"/>
      <c r="M32" s="184"/>
    </row>
    <row r="33" spans="1:13" ht="15" customHeight="1">
      <c r="A33" s="1" t="s">
        <v>880</v>
      </c>
      <c r="B33" s="1"/>
      <c r="C33" s="1"/>
      <c r="D33" s="1"/>
      <c r="E33" s="72">
        <v>0</v>
      </c>
      <c r="F33" s="72">
        <v>248000</v>
      </c>
      <c r="G33" s="13">
        <f t="shared" si="1"/>
        <v>248000</v>
      </c>
      <c r="H33" s="93"/>
      <c r="I33" s="93"/>
      <c r="J33" s="93"/>
      <c r="K33" s="184"/>
      <c r="L33" s="184"/>
      <c r="M33" s="184"/>
    </row>
    <row r="34" spans="1:13" ht="15" customHeight="1">
      <c r="A34" s="1" t="s">
        <v>149</v>
      </c>
      <c r="B34" s="1"/>
      <c r="C34" s="1"/>
      <c r="D34" s="1"/>
      <c r="E34" s="72">
        <v>135000</v>
      </c>
      <c r="F34" s="72">
        <v>189609.72</v>
      </c>
      <c r="G34" s="13">
        <f t="shared" si="1"/>
        <v>54609.72</v>
      </c>
      <c r="H34" s="93"/>
      <c r="I34" s="93"/>
      <c r="J34" s="93"/>
      <c r="K34" s="184"/>
      <c r="L34" s="184"/>
      <c r="M34" s="184"/>
    </row>
    <row r="35" spans="1:13" ht="15" customHeight="1">
      <c r="A35" s="1" t="s">
        <v>623</v>
      </c>
      <c r="B35" s="1"/>
      <c r="C35" s="1"/>
      <c r="D35" s="1"/>
      <c r="E35" s="72">
        <v>0</v>
      </c>
      <c r="F35" s="72">
        <f>4249.27+2634.74+191.96+115</f>
        <v>7190.97</v>
      </c>
      <c r="G35" s="13">
        <f t="shared" si="1"/>
        <v>7190.97</v>
      </c>
      <c r="H35" s="93"/>
      <c r="I35" s="93"/>
      <c r="J35" s="93"/>
      <c r="K35" s="184"/>
      <c r="L35" s="184"/>
      <c r="M35" s="184"/>
    </row>
    <row r="36" spans="1:13" ht="15" customHeight="1">
      <c r="A36" s="1" t="s">
        <v>624</v>
      </c>
      <c r="B36" s="1"/>
      <c r="C36" s="1"/>
      <c r="D36" s="1"/>
      <c r="E36" s="72">
        <v>81528</v>
      </c>
      <c r="F36" s="72">
        <v>65463.58</v>
      </c>
      <c r="G36" s="13">
        <f t="shared" si="1"/>
        <v>-16064.419999999998</v>
      </c>
      <c r="H36" s="93"/>
      <c r="I36" s="93"/>
      <c r="J36" s="93"/>
      <c r="K36" s="184"/>
      <c r="L36" s="184"/>
      <c r="M36" s="184"/>
    </row>
    <row r="37" spans="1:13" ht="15" customHeight="1">
      <c r="A37" s="1" t="s">
        <v>190</v>
      </c>
      <c r="B37" s="1"/>
      <c r="C37" s="1"/>
      <c r="D37" s="1"/>
      <c r="E37" s="88">
        <f>SUM(E19:E36)</f>
        <v>3025000</v>
      </c>
      <c r="F37" s="88">
        <f>SUM(F19:F36)</f>
        <v>4592633.42</v>
      </c>
      <c r="G37" s="79">
        <f>SUM(G19:G36)</f>
        <v>1567633.4199999997</v>
      </c>
      <c r="H37" s="89"/>
      <c r="I37" s="93"/>
      <c r="J37" s="93"/>
      <c r="K37" s="184"/>
      <c r="L37" s="184"/>
      <c r="M37" s="184"/>
    </row>
    <row r="38" spans="1:13" ht="15" customHeight="1">
      <c r="A38" s="1"/>
      <c r="B38" s="1"/>
      <c r="C38" s="1"/>
      <c r="D38" s="1"/>
      <c r="E38" s="72"/>
      <c r="F38" s="72"/>
      <c r="G38" s="13" t="s">
        <v>133</v>
      </c>
      <c r="H38" s="93"/>
      <c r="I38" s="93"/>
      <c r="J38" s="93"/>
      <c r="K38" s="184"/>
      <c r="L38" s="184"/>
      <c r="M38" s="184"/>
    </row>
    <row r="39" spans="1:13" ht="15" customHeight="1">
      <c r="A39" s="2" t="s">
        <v>625</v>
      </c>
      <c r="B39" s="1"/>
      <c r="C39" s="1"/>
      <c r="D39" s="1"/>
      <c r="E39" s="72"/>
      <c r="F39" s="72"/>
      <c r="G39" s="13"/>
      <c r="H39" s="93"/>
      <c r="I39" s="93"/>
      <c r="J39" s="93"/>
      <c r="K39" s="184"/>
      <c r="L39" s="184"/>
      <c r="M39" s="184"/>
    </row>
    <row r="40" spans="1:13" ht="15" customHeight="1">
      <c r="A40" s="1" t="s">
        <v>789</v>
      </c>
      <c r="B40" s="1"/>
      <c r="C40" s="1"/>
      <c r="D40" s="1"/>
      <c r="E40" s="83">
        <v>0</v>
      </c>
      <c r="F40" s="83">
        <v>7412.66</v>
      </c>
      <c r="G40" s="78">
        <f t="shared" ref="G40" si="2">F40-E40</f>
        <v>7412.66</v>
      </c>
      <c r="H40" s="93"/>
      <c r="I40" s="93"/>
      <c r="J40" s="93"/>
      <c r="K40" s="184"/>
      <c r="L40" s="184"/>
      <c r="M40" s="184"/>
    </row>
    <row r="41" spans="1:13" ht="15" customHeight="1">
      <c r="A41" s="1"/>
      <c r="B41" s="1"/>
      <c r="C41" s="1"/>
      <c r="D41" s="1"/>
      <c r="E41" s="72"/>
      <c r="F41" s="72"/>
      <c r="G41" s="13"/>
      <c r="H41" s="93"/>
      <c r="I41" s="93"/>
      <c r="J41" s="93"/>
      <c r="K41" s="184"/>
      <c r="L41" s="184"/>
      <c r="M41" s="184"/>
    </row>
    <row r="42" spans="1:13" ht="15" customHeight="1">
      <c r="A42" s="2" t="s">
        <v>191</v>
      </c>
      <c r="B42" s="1"/>
      <c r="C42" s="1"/>
      <c r="D42" s="1"/>
      <c r="E42" s="72"/>
      <c r="F42" s="72"/>
      <c r="G42" s="13" t="s">
        <v>133</v>
      </c>
      <c r="H42" s="93"/>
      <c r="I42" s="93"/>
      <c r="J42" s="93"/>
      <c r="K42" s="184"/>
      <c r="L42" s="184"/>
      <c r="M42" s="184"/>
    </row>
    <row r="43" spans="1:13" s="73" customFormat="1" ht="15" customHeight="1">
      <c r="A43" s="1" t="s">
        <v>326</v>
      </c>
      <c r="B43" s="69"/>
      <c r="C43" s="69"/>
      <c r="D43" s="69"/>
      <c r="E43" s="72">
        <v>0</v>
      </c>
      <c r="F43" s="72">
        <v>54301</v>
      </c>
      <c r="G43" s="72">
        <f t="shared" ref="G43:G51" si="3">F43-E43</f>
        <v>54301</v>
      </c>
      <c r="H43" s="217"/>
      <c r="I43" s="217"/>
      <c r="J43" s="217"/>
      <c r="K43" s="218"/>
      <c r="L43" s="218"/>
      <c r="M43" s="218"/>
    </row>
    <row r="44" spans="1:13" ht="15" customHeight="1">
      <c r="A44" s="1" t="s">
        <v>253</v>
      </c>
      <c r="B44" s="1"/>
      <c r="C44" s="1"/>
      <c r="D44" s="1"/>
      <c r="E44" s="72">
        <v>198492</v>
      </c>
      <c r="F44" s="72">
        <v>198492</v>
      </c>
      <c r="G44" s="72">
        <f t="shared" si="3"/>
        <v>0</v>
      </c>
      <c r="H44" s="93"/>
      <c r="I44" s="93"/>
      <c r="J44" s="93"/>
      <c r="K44" s="184"/>
      <c r="L44" s="184"/>
      <c r="M44" s="184"/>
    </row>
    <row r="45" spans="1:13" ht="15" customHeight="1">
      <c r="A45" s="1" t="s">
        <v>830</v>
      </c>
      <c r="B45" s="1"/>
      <c r="C45" s="1"/>
      <c r="D45" s="1"/>
      <c r="E45" s="72">
        <v>90846</v>
      </c>
      <c r="F45" s="72">
        <v>112633</v>
      </c>
      <c r="G45" s="72">
        <f t="shared" si="3"/>
        <v>21787</v>
      </c>
      <c r="H45" s="14"/>
      <c r="I45" s="14"/>
      <c r="J45" s="14"/>
    </row>
    <row r="46" spans="1:13" ht="15" customHeight="1">
      <c r="A46" s="1" t="s">
        <v>37</v>
      </c>
      <c r="B46" s="1"/>
      <c r="C46" s="1"/>
      <c r="D46" s="1"/>
      <c r="E46" s="72">
        <v>459454</v>
      </c>
      <c r="F46" s="72">
        <v>459454</v>
      </c>
      <c r="G46" s="72">
        <f t="shared" si="3"/>
        <v>0</v>
      </c>
      <c r="H46" s="14"/>
      <c r="I46" s="14"/>
      <c r="J46" s="14"/>
    </row>
    <row r="47" spans="1:13" ht="15" customHeight="1">
      <c r="A47" s="1" t="s">
        <v>38</v>
      </c>
      <c r="B47" s="1"/>
      <c r="C47" s="1"/>
      <c r="D47" s="1"/>
      <c r="E47" s="72">
        <v>479742</v>
      </c>
      <c r="F47" s="72">
        <v>479742</v>
      </c>
      <c r="G47" s="72">
        <f t="shared" si="3"/>
        <v>0</v>
      </c>
      <c r="H47" s="14"/>
      <c r="I47" s="14"/>
      <c r="J47" s="14"/>
    </row>
    <row r="48" spans="1:13" ht="15" customHeight="1">
      <c r="A48" s="1" t="s">
        <v>626</v>
      </c>
      <c r="E48" s="72">
        <v>1008321</v>
      </c>
      <c r="F48" s="72">
        <v>1008321</v>
      </c>
      <c r="G48" s="72">
        <f t="shared" si="3"/>
        <v>0</v>
      </c>
      <c r="H48" s="14"/>
      <c r="I48" s="14"/>
      <c r="J48" s="14"/>
    </row>
    <row r="49" spans="1:10" ht="15" customHeight="1">
      <c r="A49" s="1" t="s">
        <v>39</v>
      </c>
      <c r="E49" s="72">
        <v>0</v>
      </c>
      <c r="F49" s="72">
        <v>1007.64</v>
      </c>
      <c r="G49" s="72">
        <f t="shared" si="3"/>
        <v>1007.64</v>
      </c>
      <c r="H49" s="14"/>
      <c r="I49" s="14"/>
      <c r="J49" s="14"/>
    </row>
    <row r="50" spans="1:10" ht="15" hidden="1" customHeight="1">
      <c r="A50" s="1" t="s">
        <v>411</v>
      </c>
      <c r="E50" s="72">
        <v>0</v>
      </c>
      <c r="F50" s="72">
        <v>0</v>
      </c>
      <c r="G50" s="72">
        <f t="shared" si="3"/>
        <v>0</v>
      </c>
      <c r="H50" s="14"/>
      <c r="I50" s="14"/>
      <c r="J50" s="14"/>
    </row>
    <row r="51" spans="1:10" ht="15" customHeight="1">
      <c r="A51" s="1" t="s">
        <v>40</v>
      </c>
      <c r="B51" s="1"/>
      <c r="C51" s="1"/>
      <c r="D51" s="1"/>
      <c r="E51" s="72">
        <v>0</v>
      </c>
      <c r="F51" s="72">
        <v>9372</v>
      </c>
      <c r="G51" s="72">
        <f t="shared" si="3"/>
        <v>9372</v>
      </c>
      <c r="H51" s="14"/>
      <c r="I51" s="14"/>
      <c r="J51" s="14"/>
    </row>
    <row r="52" spans="1:10" ht="15" customHeight="1">
      <c r="A52" s="1" t="s">
        <v>192</v>
      </c>
      <c r="B52" s="1"/>
      <c r="C52" s="1"/>
      <c r="D52" s="1"/>
      <c r="E52" s="88">
        <f>SUM(E43:E51)</f>
        <v>2236855</v>
      </c>
      <c r="F52" s="88">
        <f>SUM(F43:F51)</f>
        <v>2323322.64</v>
      </c>
      <c r="G52" s="79">
        <f>SUM(G43:G51)</f>
        <v>86467.64</v>
      </c>
      <c r="H52" s="14"/>
      <c r="I52" s="14"/>
      <c r="J52" s="14"/>
    </row>
    <row r="53" spans="1:10" ht="15" customHeight="1">
      <c r="A53" s="1"/>
      <c r="B53" s="1"/>
      <c r="C53" s="1"/>
      <c r="D53" s="1"/>
      <c r="E53" s="72"/>
      <c r="F53" s="72"/>
      <c r="G53" s="13" t="s">
        <v>133</v>
      </c>
      <c r="H53" s="14"/>
      <c r="I53" s="14"/>
      <c r="J53" s="14"/>
    </row>
    <row r="54" spans="1:10" ht="15" customHeight="1">
      <c r="A54" s="2" t="s">
        <v>327</v>
      </c>
      <c r="B54" s="1"/>
      <c r="C54" s="1"/>
      <c r="D54" s="1"/>
      <c r="E54" s="72"/>
      <c r="F54" s="72"/>
      <c r="G54" s="13" t="s">
        <v>133</v>
      </c>
      <c r="H54" s="14"/>
      <c r="I54" s="14"/>
      <c r="J54" s="14"/>
    </row>
    <row r="55" spans="1:10" ht="15" customHeight="1">
      <c r="A55" s="1" t="s">
        <v>193</v>
      </c>
      <c r="B55" s="1"/>
      <c r="C55" s="1"/>
      <c r="D55" s="1"/>
      <c r="E55" s="72">
        <v>3000</v>
      </c>
      <c r="F55" s="72">
        <v>3000</v>
      </c>
      <c r="G55" s="13">
        <f t="shared" ref="G55:G61" si="4">F55-E55</f>
        <v>0</v>
      </c>
      <c r="H55" s="14"/>
      <c r="I55" s="14"/>
      <c r="J55" s="14"/>
    </row>
    <row r="56" spans="1:10" ht="15" hidden="1" customHeight="1">
      <c r="A56" s="1" t="s">
        <v>245</v>
      </c>
      <c r="B56" s="1"/>
      <c r="C56" s="1"/>
      <c r="D56" s="1"/>
      <c r="E56" s="72">
        <v>0</v>
      </c>
      <c r="F56" s="72"/>
      <c r="G56" s="13">
        <f t="shared" si="4"/>
        <v>0</v>
      </c>
      <c r="H56" s="14"/>
      <c r="I56" s="14"/>
      <c r="J56" s="14"/>
    </row>
    <row r="57" spans="1:10" ht="15" customHeight="1">
      <c r="A57" s="1" t="s">
        <v>41</v>
      </c>
      <c r="B57" s="1"/>
      <c r="C57" s="1"/>
      <c r="D57" s="1"/>
      <c r="E57" s="72">
        <v>89769</v>
      </c>
      <c r="F57" s="72">
        <v>87962</v>
      </c>
      <c r="G57" s="13">
        <f t="shared" si="4"/>
        <v>-1807</v>
      </c>
      <c r="H57" s="14"/>
      <c r="I57" s="14"/>
      <c r="J57" s="14"/>
    </row>
    <row r="58" spans="1:10" ht="15" hidden="1" customHeight="1">
      <c r="A58" s="1" t="s">
        <v>2</v>
      </c>
      <c r="B58" s="1"/>
      <c r="C58" s="1"/>
      <c r="D58" s="1"/>
      <c r="E58" s="72">
        <v>0</v>
      </c>
      <c r="F58" s="72">
        <v>0</v>
      </c>
      <c r="G58" s="13">
        <f t="shared" si="4"/>
        <v>0</v>
      </c>
      <c r="H58" s="14"/>
      <c r="I58" s="14"/>
      <c r="J58" s="14"/>
    </row>
    <row r="59" spans="1:10" ht="15" customHeight="1">
      <c r="A59" s="1" t="s">
        <v>42</v>
      </c>
      <c r="B59" s="1"/>
      <c r="C59" s="1"/>
      <c r="D59" s="1"/>
      <c r="E59" s="72">
        <v>0</v>
      </c>
      <c r="F59" s="72">
        <v>23213.08</v>
      </c>
      <c r="G59" s="13">
        <f t="shared" si="4"/>
        <v>23213.08</v>
      </c>
      <c r="H59" s="14"/>
      <c r="I59" s="14"/>
      <c r="J59" s="14"/>
    </row>
    <row r="60" spans="1:10" ht="15" hidden="1" customHeight="1">
      <c r="A60" s="1" t="s">
        <v>11</v>
      </c>
      <c r="B60" s="1"/>
      <c r="C60" s="1"/>
      <c r="D60" s="1"/>
      <c r="E60" s="72">
        <v>0</v>
      </c>
      <c r="F60" s="72"/>
      <c r="G60" s="13">
        <f t="shared" si="4"/>
        <v>0</v>
      </c>
      <c r="H60" s="14"/>
      <c r="I60" s="14"/>
      <c r="J60" s="14"/>
    </row>
    <row r="61" spans="1:10" ht="15" customHeight="1">
      <c r="A61" s="1" t="s">
        <v>12</v>
      </c>
      <c r="B61" s="1"/>
      <c r="C61" s="1"/>
      <c r="D61" s="1"/>
      <c r="E61" s="13">
        <v>0</v>
      </c>
      <c r="F61" s="13">
        <v>0</v>
      </c>
      <c r="G61" s="13">
        <f t="shared" si="4"/>
        <v>0</v>
      </c>
      <c r="H61" s="14"/>
      <c r="I61" s="14"/>
      <c r="J61" s="14"/>
    </row>
    <row r="62" spans="1:10" ht="15" customHeight="1">
      <c r="A62" s="1" t="s">
        <v>194</v>
      </c>
      <c r="B62" s="1"/>
      <c r="C62" s="1"/>
      <c r="D62" s="1"/>
      <c r="E62" s="79">
        <f>SUM(E55:E61)</f>
        <v>92769</v>
      </c>
      <c r="F62" s="79">
        <f>SUM(F55:F61)</f>
        <v>114175.08</v>
      </c>
      <c r="G62" s="79">
        <f>SUM(G55:G61)</f>
        <v>21406.080000000002</v>
      </c>
      <c r="H62" s="14"/>
      <c r="I62" s="14"/>
      <c r="J62" s="14"/>
    </row>
    <row r="63" spans="1:10" ht="15" customHeight="1">
      <c r="A63" s="1"/>
      <c r="B63" s="1"/>
      <c r="C63" s="1"/>
      <c r="D63" s="1"/>
      <c r="E63" s="13"/>
      <c r="F63" s="13"/>
      <c r="G63" s="13" t="s">
        <v>133</v>
      </c>
      <c r="H63" s="14"/>
      <c r="I63" s="14"/>
      <c r="J63" s="14"/>
    </row>
    <row r="64" spans="1:10" ht="15" customHeight="1">
      <c r="A64" s="1"/>
      <c r="B64" s="1"/>
      <c r="C64" s="1"/>
      <c r="D64" s="1"/>
      <c r="E64" s="13"/>
      <c r="F64" s="13"/>
      <c r="G64" s="13" t="s">
        <v>133</v>
      </c>
      <c r="H64" s="14"/>
      <c r="I64" s="14"/>
      <c r="J64" s="14"/>
    </row>
    <row r="65" spans="1:10" ht="15" customHeight="1" thickBot="1">
      <c r="A65" s="1"/>
      <c r="B65" s="1" t="s">
        <v>196</v>
      </c>
      <c r="C65" s="1"/>
      <c r="D65" s="1"/>
      <c r="E65" s="81">
        <f>E16+E37+E40+E62+E52</f>
        <v>26780944.559999999</v>
      </c>
      <c r="F65" s="81">
        <f t="shared" ref="F65:G65" si="5">F16+F37+F40+F62+F52</f>
        <v>28905401.279999997</v>
      </c>
      <c r="G65" s="81">
        <f t="shared" si="5"/>
        <v>2124456.7200000011</v>
      </c>
      <c r="H65" s="14">
        <f>+E65-F65</f>
        <v>-2124456.7199999988</v>
      </c>
      <c r="I65" s="14"/>
      <c r="J65" s="14"/>
    </row>
    <row r="66" spans="1:10" ht="15" customHeight="1" thickTop="1">
      <c r="E66" s="14"/>
      <c r="F66" s="14"/>
      <c r="G66" s="14"/>
      <c r="H66" s="14"/>
      <c r="I66" s="14"/>
      <c r="J66" s="14"/>
    </row>
    <row r="67" spans="1:10" ht="15" customHeight="1">
      <c r="A67" s="239" t="s">
        <v>197</v>
      </c>
      <c r="B67" s="239"/>
      <c r="C67" s="1"/>
      <c r="D67" s="1"/>
      <c r="E67" s="13"/>
      <c r="F67" s="13"/>
      <c r="G67" s="13"/>
      <c r="H67" s="14"/>
      <c r="I67" s="14"/>
      <c r="J67" s="14"/>
    </row>
    <row r="68" spans="1:10" ht="15" customHeight="1">
      <c r="E68" s="14"/>
      <c r="F68" s="14"/>
      <c r="G68" s="14"/>
      <c r="H68" s="14"/>
      <c r="I68" s="14"/>
      <c r="J68" s="14"/>
    </row>
    <row r="69" spans="1:10" ht="15" customHeight="1">
      <c r="E69" s="14"/>
      <c r="F69" s="14"/>
      <c r="G69" s="14"/>
      <c r="H69" s="14"/>
      <c r="I69" s="14"/>
      <c r="J69" s="14"/>
    </row>
    <row r="70" spans="1:10" ht="15" customHeight="1">
      <c r="E70" s="14"/>
      <c r="F70" s="14"/>
      <c r="G70" s="14"/>
      <c r="H70" s="14"/>
      <c r="I70" s="14"/>
      <c r="J70" s="14"/>
    </row>
    <row r="71" spans="1:10" ht="15" customHeight="1">
      <c r="E71" s="14"/>
      <c r="F71" s="14"/>
      <c r="G71" s="14"/>
      <c r="H71" s="14"/>
      <c r="I71" s="14"/>
      <c r="J71" s="14"/>
    </row>
    <row r="72" spans="1:10" ht="15" customHeight="1">
      <c r="E72" s="14"/>
      <c r="F72" s="14"/>
      <c r="G72" s="14"/>
      <c r="H72" s="14"/>
      <c r="I72" s="14"/>
      <c r="J72" s="14"/>
    </row>
    <row r="73" spans="1:10" ht="15" customHeight="1">
      <c r="E73" s="14"/>
      <c r="F73" s="14"/>
      <c r="G73" s="14"/>
      <c r="H73" s="14"/>
      <c r="I73" s="14"/>
      <c r="J73" s="14"/>
    </row>
    <row r="74" spans="1:10" ht="15" customHeight="1">
      <c r="E74" s="14"/>
      <c r="F74" s="14"/>
      <c r="G74" s="14"/>
      <c r="H74" s="14"/>
      <c r="I74" s="14"/>
      <c r="J74" s="14"/>
    </row>
    <row r="75" spans="1:10" ht="15" customHeight="1">
      <c r="E75" s="14"/>
      <c r="F75" s="14"/>
      <c r="G75" s="14"/>
      <c r="H75" s="14"/>
      <c r="I75" s="14"/>
      <c r="J75" s="14"/>
    </row>
    <row r="76" spans="1:10" ht="15" customHeight="1">
      <c r="E76" s="14"/>
      <c r="F76" s="14"/>
      <c r="G76" s="14"/>
      <c r="H76" s="14"/>
      <c r="I76" s="14"/>
      <c r="J76" s="14"/>
    </row>
    <row r="77" spans="1:10" ht="15" customHeight="1">
      <c r="E77" s="14"/>
      <c r="F77" s="14"/>
      <c r="G77" s="14"/>
      <c r="H77" s="14"/>
      <c r="I77" s="14"/>
      <c r="J77" s="14"/>
    </row>
    <row r="78" spans="1:10" ht="15" customHeight="1">
      <c r="C78" s="189"/>
      <c r="E78" s="14"/>
      <c r="F78" s="14"/>
      <c r="G78" s="14"/>
      <c r="H78" s="14"/>
      <c r="I78" s="14"/>
      <c r="J78" s="14"/>
    </row>
    <row r="79" spans="1:10" ht="15" customHeight="1">
      <c r="C79" s="189"/>
      <c r="E79" s="14"/>
      <c r="F79" s="14"/>
      <c r="G79" s="14"/>
      <c r="H79" s="14"/>
      <c r="I79" s="14"/>
      <c r="J79" s="14"/>
    </row>
    <row r="80" spans="1:10" ht="15" customHeight="1">
      <c r="C80" s="189"/>
      <c r="E80" s="14"/>
      <c r="F80" s="14"/>
      <c r="G80" s="14"/>
      <c r="H80" s="14"/>
      <c r="I80" s="14"/>
      <c r="J80" s="14"/>
    </row>
    <row r="81" spans="3:10" ht="15" customHeight="1">
      <c r="C81" s="180"/>
      <c r="E81" s="14"/>
      <c r="F81" s="14"/>
      <c r="G81" s="14"/>
      <c r="H81" s="14"/>
      <c r="I81" s="14"/>
      <c r="J81" s="14"/>
    </row>
    <row r="82" spans="3:10" ht="15" customHeight="1">
      <c r="E82" s="14"/>
      <c r="F82" s="14"/>
      <c r="G82" s="14"/>
      <c r="H82" s="14"/>
      <c r="I82" s="14"/>
      <c r="J82" s="14"/>
    </row>
    <row r="83" spans="3:10" ht="15" customHeight="1">
      <c r="E83" s="14"/>
      <c r="F83" s="14"/>
      <c r="G83" s="14"/>
      <c r="H83" s="14"/>
      <c r="I83" s="14"/>
      <c r="J83" s="14"/>
    </row>
    <row r="84" spans="3:10" ht="15" customHeight="1">
      <c r="E84" s="14"/>
      <c r="F84" s="14"/>
      <c r="G84" s="14"/>
      <c r="H84" s="14"/>
      <c r="I84" s="14"/>
      <c r="J84" s="14"/>
    </row>
    <row r="85" spans="3:10" ht="15" customHeight="1">
      <c r="E85" s="14"/>
      <c r="F85" s="14"/>
      <c r="G85" s="14"/>
      <c r="H85" s="14"/>
      <c r="I85" s="14"/>
      <c r="J85" s="14"/>
    </row>
    <row r="86" spans="3:10" ht="15" customHeight="1">
      <c r="E86" s="14"/>
      <c r="F86" s="14"/>
      <c r="G86" s="14"/>
      <c r="H86" s="14"/>
      <c r="I86" s="14"/>
      <c r="J86" s="14"/>
    </row>
    <row r="87" spans="3:10" ht="15" customHeight="1">
      <c r="E87" s="14"/>
      <c r="F87" s="14"/>
      <c r="G87" s="14"/>
      <c r="H87" s="14"/>
      <c r="I87" s="14"/>
      <c r="J87" s="14"/>
    </row>
    <row r="88" spans="3:10" ht="15" customHeight="1">
      <c r="E88" s="14"/>
      <c r="F88" s="14"/>
      <c r="G88" s="14"/>
      <c r="H88" s="14"/>
      <c r="I88" s="14"/>
      <c r="J88" s="14"/>
    </row>
    <row r="89" spans="3:10" ht="15" customHeight="1">
      <c r="E89" s="14"/>
      <c r="F89" s="14"/>
      <c r="G89" s="14"/>
      <c r="H89" s="14"/>
      <c r="I89" s="14"/>
      <c r="J89" s="14"/>
    </row>
    <row r="90" spans="3:10" ht="15" customHeight="1">
      <c r="E90" s="14"/>
      <c r="F90" s="14"/>
      <c r="G90" s="14"/>
      <c r="H90" s="14"/>
      <c r="I90" s="14"/>
      <c r="J90" s="14"/>
    </row>
    <row r="91" spans="3:10" ht="15" customHeight="1">
      <c r="E91" s="14"/>
      <c r="F91" s="14"/>
      <c r="G91" s="14"/>
      <c r="H91" s="14"/>
      <c r="I91" s="14"/>
      <c r="J91" s="14"/>
    </row>
    <row r="92" spans="3:10" ht="15" customHeight="1">
      <c r="E92" s="14"/>
      <c r="F92" s="14"/>
      <c r="G92" s="14"/>
      <c r="H92" s="14"/>
      <c r="I92" s="14"/>
      <c r="J92" s="14"/>
    </row>
    <row r="93" spans="3:10" ht="15" customHeight="1">
      <c r="E93" s="14"/>
      <c r="F93" s="14"/>
      <c r="G93" s="14"/>
      <c r="H93" s="14"/>
      <c r="I93" s="14"/>
      <c r="J93" s="14"/>
    </row>
    <row r="94" spans="3:10" ht="15" customHeight="1">
      <c r="E94" s="14"/>
      <c r="F94" s="14"/>
      <c r="G94" s="14"/>
      <c r="H94" s="14"/>
      <c r="I94" s="14"/>
      <c r="J94" s="14"/>
    </row>
    <row r="95" spans="3:10" ht="15" customHeight="1">
      <c r="E95" s="14"/>
      <c r="F95" s="14"/>
      <c r="G95" s="14"/>
      <c r="H95" s="14"/>
      <c r="I95" s="14"/>
      <c r="J95" s="14"/>
    </row>
    <row r="96" spans="3:10" ht="15" customHeight="1">
      <c r="E96" s="14"/>
      <c r="F96" s="14"/>
      <c r="G96" s="14"/>
      <c r="H96" s="14"/>
      <c r="I96" s="14"/>
      <c r="J96" s="14"/>
    </row>
  </sheetData>
  <mergeCells count="3">
    <mergeCell ref="A1:G1"/>
    <mergeCell ref="A3:G3"/>
    <mergeCell ref="A5:G5"/>
  </mergeCells>
  <phoneticPr fontId="0" type="noConversion"/>
  <pageMargins left="0.75" right="0.75" top="1" bottom="1" header="0.5" footer="0.5"/>
  <pageSetup scale="5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tabColor rgb="FFFFFF00"/>
  </sheetPr>
  <dimension ref="A1:U141"/>
  <sheetViews>
    <sheetView zoomScaleNormal="100" workbookViewId="0">
      <pane xSplit="1" topLeftCell="E1" activePane="topRight" state="frozen"/>
      <selection pane="topRight" activeCell="N135" sqref="N135"/>
    </sheetView>
  </sheetViews>
  <sheetFormatPr defaultRowHeight="15" customHeight="1"/>
  <cols>
    <col min="1" max="1" width="17" customWidth="1"/>
    <col min="2" max="2" width="18.6640625" customWidth="1"/>
    <col min="3" max="4" width="15.77734375" customWidth="1"/>
    <col min="5" max="5" width="14" customWidth="1"/>
    <col min="6" max="7" width="14.6640625" customWidth="1"/>
    <col min="8" max="8" width="14.21875" customWidth="1"/>
    <col min="9" max="9" width="13.77734375" customWidth="1"/>
    <col min="10" max="10" width="14.6640625" style="14" customWidth="1"/>
    <col min="11" max="13" width="15.77734375" customWidth="1"/>
    <col min="14" max="14" width="14.33203125" style="167" customWidth="1"/>
    <col min="15" max="15" width="13.21875" customWidth="1"/>
    <col min="16" max="16" width="2.109375" customWidth="1"/>
    <col min="17" max="18" width="14.5546875" customWidth="1"/>
    <col min="19" max="19" width="2.33203125" customWidth="1"/>
    <col min="20" max="20" width="14.21875" customWidth="1"/>
    <col min="21" max="21" width="12.6640625" customWidth="1"/>
  </cols>
  <sheetData>
    <row r="1" spans="1:21" ht="15" customHeight="1">
      <c r="A1" s="261" t="s">
        <v>150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3" spans="1:21" ht="15" customHeight="1">
      <c r="A3" s="261" t="s">
        <v>881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6" spans="1:21" ht="15" customHeight="1">
      <c r="A6" s="3"/>
      <c r="B6" s="3"/>
      <c r="C6" s="4" t="s">
        <v>151</v>
      </c>
      <c r="D6" s="229" t="s">
        <v>151</v>
      </c>
      <c r="E6" s="222" t="s">
        <v>627</v>
      </c>
      <c r="F6" s="222" t="s">
        <v>637</v>
      </c>
      <c r="G6" s="229" t="s">
        <v>720</v>
      </c>
      <c r="H6" s="4" t="s">
        <v>720</v>
      </c>
      <c r="I6" s="222" t="s">
        <v>720</v>
      </c>
      <c r="J6" s="18" t="s">
        <v>152</v>
      </c>
      <c r="K6" s="4" t="s">
        <v>254</v>
      </c>
      <c r="L6" s="244" t="s">
        <v>153</v>
      </c>
      <c r="M6" s="4" t="s">
        <v>643</v>
      </c>
    </row>
    <row r="7" spans="1:21" ht="15" customHeight="1">
      <c r="A7" s="3"/>
      <c r="B7" s="3"/>
      <c r="C7" s="4" t="s">
        <v>718</v>
      </c>
      <c r="D7" s="229" t="s">
        <v>719</v>
      </c>
      <c r="E7" s="222" t="s">
        <v>628</v>
      </c>
      <c r="F7" s="222" t="s">
        <v>638</v>
      </c>
      <c r="G7" s="229" t="s">
        <v>829</v>
      </c>
      <c r="H7" s="4" t="s">
        <v>884</v>
      </c>
      <c r="I7" s="222" t="s">
        <v>790</v>
      </c>
      <c r="J7" s="18" t="s">
        <v>154</v>
      </c>
      <c r="K7" s="4" t="s">
        <v>154</v>
      </c>
      <c r="L7" s="244" t="s">
        <v>879</v>
      </c>
      <c r="M7" s="4" t="s">
        <v>644</v>
      </c>
    </row>
    <row r="8" spans="1:21" ht="15" customHeight="1">
      <c r="A8" s="2" t="s">
        <v>155</v>
      </c>
      <c r="B8" s="1"/>
      <c r="C8" s="1"/>
      <c r="D8" s="1"/>
      <c r="E8" s="1"/>
      <c r="F8" s="1"/>
      <c r="G8" s="1"/>
      <c r="H8" s="1"/>
      <c r="I8" s="1"/>
      <c r="J8" s="13"/>
      <c r="K8" s="1"/>
      <c r="L8" s="1"/>
      <c r="M8" s="1"/>
    </row>
    <row r="9" spans="1:21" ht="15" customHeight="1">
      <c r="A9" s="1" t="s">
        <v>156</v>
      </c>
      <c r="B9" s="1"/>
      <c r="C9" s="13">
        <v>450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150</v>
      </c>
      <c r="K9" s="13">
        <v>0</v>
      </c>
      <c r="L9" s="13">
        <v>-600</v>
      </c>
      <c r="M9" s="13">
        <f>SUM(C9:L9)</f>
        <v>0</v>
      </c>
      <c r="N9" s="171"/>
      <c r="O9" s="14"/>
      <c r="P9" s="14"/>
      <c r="Q9" s="14"/>
      <c r="R9" s="14"/>
      <c r="S9" s="14"/>
      <c r="T9" s="14"/>
      <c r="U9" s="14"/>
    </row>
    <row r="10" spans="1:21" ht="15" customHeight="1">
      <c r="A10" s="1" t="s">
        <v>157</v>
      </c>
      <c r="B10" s="1"/>
      <c r="C10" s="13">
        <v>84748.51</v>
      </c>
      <c r="D10" s="13">
        <v>2000</v>
      </c>
      <c r="E10" s="13">
        <v>2000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-81489.03</v>
      </c>
      <c r="M10" s="13">
        <f t="shared" ref="M10:M33" si="0">SUM(C10:L10)</f>
        <v>7259.4799999999959</v>
      </c>
      <c r="N10" s="171"/>
      <c r="O10" s="14"/>
      <c r="P10" s="14"/>
      <c r="Q10" s="14"/>
      <c r="R10" s="14"/>
      <c r="S10" s="14"/>
      <c r="T10" s="14"/>
      <c r="U10" s="14"/>
    </row>
    <row r="11" spans="1:21" s="8" customFormat="1" ht="15" customHeight="1">
      <c r="A11" s="1" t="s">
        <v>16</v>
      </c>
      <c r="B11" s="1"/>
      <c r="C11" s="13">
        <v>206108.79999999999</v>
      </c>
      <c r="D11" s="13">
        <v>25000</v>
      </c>
      <c r="E11" s="13">
        <f>10879+10686+9000+1642.5+5794.2+6996.59</f>
        <v>44998.289999999994</v>
      </c>
      <c r="F11" s="13">
        <v>0</v>
      </c>
      <c r="G11" s="13">
        <v>18600</v>
      </c>
      <c r="H11" s="13">
        <v>0</v>
      </c>
      <c r="I11" s="13">
        <v>0</v>
      </c>
      <c r="J11" s="13">
        <v>0</v>
      </c>
      <c r="K11" s="13">
        <f>-1300+1300</f>
        <v>0</v>
      </c>
      <c r="L11" s="13">
        <v>-187086.62</v>
      </c>
      <c r="M11" s="13">
        <f t="shared" si="0"/>
        <v>107620.46999999997</v>
      </c>
      <c r="N11" s="202"/>
      <c r="O11" s="16"/>
      <c r="P11" s="16"/>
      <c r="Q11" s="16"/>
      <c r="R11" s="16"/>
      <c r="S11" s="16"/>
      <c r="T11" s="16"/>
      <c r="U11" s="16"/>
    </row>
    <row r="12" spans="1:21" ht="15" customHeight="1">
      <c r="A12" s="1" t="s">
        <v>158</v>
      </c>
      <c r="B12" s="1"/>
      <c r="C12" s="13">
        <v>4300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800</v>
      </c>
      <c r="K12" s="13">
        <v>0</v>
      </c>
      <c r="L12" s="13">
        <v>-1538.83</v>
      </c>
      <c r="M12" s="13">
        <f t="shared" si="0"/>
        <v>3561.17</v>
      </c>
      <c r="N12" s="171"/>
      <c r="O12" s="14"/>
      <c r="P12" s="14"/>
      <c r="Q12" s="14"/>
      <c r="R12" s="14"/>
      <c r="S12" s="14"/>
      <c r="T12" s="14"/>
      <c r="U12" s="14"/>
    </row>
    <row r="13" spans="1:21" ht="15" customHeight="1">
      <c r="A13" s="1" t="s">
        <v>152</v>
      </c>
      <c r="B13" s="1"/>
      <c r="C13" s="13">
        <v>125000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f>-500-250-800-250-70-1400-100-550-443.52-25000-34366-150-380.8-3200-12800</f>
        <v>-80260.320000000007</v>
      </c>
      <c r="K13" s="13">
        <v>0</v>
      </c>
      <c r="L13" s="13">
        <v>0</v>
      </c>
      <c r="M13" s="13">
        <f t="shared" si="0"/>
        <v>44739.679999999993</v>
      </c>
      <c r="N13" s="171"/>
      <c r="O13" s="14"/>
      <c r="P13" s="14"/>
      <c r="Q13" s="14"/>
      <c r="R13" s="14"/>
      <c r="S13" s="14"/>
      <c r="T13" s="14"/>
      <c r="U13" s="14"/>
    </row>
    <row r="14" spans="1:21" s="141" customFormat="1" ht="15" customHeight="1">
      <c r="A14" s="1" t="s">
        <v>256</v>
      </c>
      <c r="B14" s="1"/>
      <c r="C14" s="13">
        <v>119336</v>
      </c>
      <c r="D14" s="13">
        <v>0</v>
      </c>
      <c r="E14" s="13">
        <v>0</v>
      </c>
      <c r="F14" s="13">
        <v>0</v>
      </c>
      <c r="G14" s="13">
        <v>2646</v>
      </c>
      <c r="H14" s="13">
        <v>0</v>
      </c>
      <c r="I14" s="13">
        <v>0</v>
      </c>
      <c r="J14" s="13">
        <v>0</v>
      </c>
      <c r="K14" s="13">
        <f>-85.96+85.96</f>
        <v>0</v>
      </c>
      <c r="L14" s="13">
        <v>-119811.42</v>
      </c>
      <c r="M14" s="13">
        <f t="shared" si="0"/>
        <v>2170.5800000000017</v>
      </c>
      <c r="N14" s="203"/>
      <c r="O14" s="204"/>
      <c r="P14" s="204"/>
      <c r="Q14" s="204"/>
      <c r="R14" s="204"/>
      <c r="S14" s="204"/>
      <c r="T14" s="204"/>
      <c r="U14" s="204"/>
    </row>
    <row r="15" spans="1:21" s="141" customFormat="1" ht="15" customHeight="1">
      <c r="A15" s="1" t="s">
        <v>393</v>
      </c>
      <c r="B15" s="1"/>
      <c r="C15" s="13">
        <v>19500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-19500</v>
      </c>
      <c r="M15" s="13">
        <f t="shared" si="0"/>
        <v>0</v>
      </c>
      <c r="N15" s="203"/>
      <c r="O15" s="204"/>
      <c r="P15" s="204"/>
      <c r="Q15" s="204"/>
      <c r="R15" s="204"/>
      <c r="S15" s="204"/>
      <c r="T15" s="204"/>
      <c r="U15" s="204"/>
    </row>
    <row r="16" spans="1:21" ht="15" customHeight="1">
      <c r="A16" s="1" t="s">
        <v>159</v>
      </c>
      <c r="B16" s="1"/>
      <c r="C16" s="13">
        <v>99218.18</v>
      </c>
      <c r="D16" s="13">
        <v>0</v>
      </c>
      <c r="E16" s="13">
        <v>720.5</v>
      </c>
      <c r="F16" s="13">
        <v>-9500</v>
      </c>
      <c r="G16" s="13">
        <v>0</v>
      </c>
      <c r="H16" s="13">
        <v>9500</v>
      </c>
      <c r="I16" s="13">
        <v>0</v>
      </c>
      <c r="J16" s="13">
        <v>0</v>
      </c>
      <c r="K16" s="13">
        <v>0</v>
      </c>
      <c r="L16" s="13">
        <v>-72674.45</v>
      </c>
      <c r="M16" s="13">
        <f t="shared" si="0"/>
        <v>27264.229999999996</v>
      </c>
      <c r="N16" s="171"/>
      <c r="O16" s="14"/>
      <c r="P16" s="14"/>
      <c r="Q16" s="14"/>
      <c r="R16" s="14"/>
      <c r="S16" s="14"/>
      <c r="T16" s="14"/>
      <c r="U16" s="14"/>
    </row>
    <row r="17" spans="1:21" ht="15" customHeight="1">
      <c r="A17" s="1" t="s">
        <v>629</v>
      </c>
      <c r="B17" s="1"/>
      <c r="C17" s="13">
        <v>0</v>
      </c>
      <c r="D17" s="13">
        <f>10500+33000</f>
        <v>43500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-39900</v>
      </c>
      <c r="M17" s="13">
        <f t="shared" si="0"/>
        <v>3600</v>
      </c>
      <c r="N17" s="171"/>
      <c r="O17" s="14"/>
      <c r="P17" s="14"/>
      <c r="Q17" s="14"/>
      <c r="R17" s="14"/>
      <c r="S17" s="14"/>
      <c r="T17" s="14"/>
      <c r="U17" s="14"/>
    </row>
    <row r="18" spans="1:21" ht="15" customHeight="1">
      <c r="A18" s="1" t="s">
        <v>17</v>
      </c>
      <c r="B18" s="1"/>
      <c r="C18" s="13">
        <v>201743.5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-190460.33</v>
      </c>
      <c r="M18" s="13">
        <f t="shared" si="0"/>
        <v>11283.170000000013</v>
      </c>
      <c r="N18" s="171"/>
      <c r="O18" s="14"/>
      <c r="P18" s="14"/>
      <c r="Q18" s="14"/>
      <c r="R18" s="14"/>
      <c r="S18" s="14"/>
      <c r="T18" s="14"/>
      <c r="U18" s="14"/>
    </row>
    <row r="19" spans="1:21" ht="15" customHeight="1">
      <c r="A19" s="1" t="s">
        <v>248</v>
      </c>
      <c r="B19" s="1"/>
      <c r="C19" s="13">
        <v>125000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380.8</v>
      </c>
      <c r="K19" s="13">
        <v>0</v>
      </c>
      <c r="L19" s="13">
        <v>-125380.8</v>
      </c>
      <c r="M19" s="13">
        <f t="shared" si="0"/>
        <v>0</v>
      </c>
      <c r="N19" s="171"/>
      <c r="O19" s="14"/>
      <c r="P19" s="14"/>
      <c r="Q19" s="14"/>
      <c r="R19" s="14"/>
      <c r="S19" s="14"/>
      <c r="T19" s="14"/>
      <c r="U19" s="14"/>
    </row>
    <row r="20" spans="1:21" ht="15" customHeight="1">
      <c r="A20" s="1" t="s">
        <v>18</v>
      </c>
      <c r="B20" s="1"/>
      <c r="C20" s="13">
        <v>52862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-37289.589999999997</v>
      </c>
      <c r="M20" s="13">
        <f t="shared" si="0"/>
        <v>15572.410000000003</v>
      </c>
      <c r="N20" s="171"/>
      <c r="O20" s="14"/>
      <c r="P20" s="14"/>
      <c r="Q20" s="14"/>
      <c r="R20" s="14"/>
      <c r="S20" s="14"/>
      <c r="T20" s="14"/>
      <c r="U20" s="14"/>
    </row>
    <row r="21" spans="1:21" ht="15" customHeight="1">
      <c r="A21" s="1" t="s">
        <v>252</v>
      </c>
      <c r="B21" s="1"/>
      <c r="C21" s="13">
        <v>15500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-23796.03</v>
      </c>
      <c r="M21" s="13">
        <f t="shared" si="0"/>
        <v>-8296.0299999999988</v>
      </c>
      <c r="N21" s="171"/>
      <c r="O21" s="14"/>
      <c r="P21" s="14"/>
      <c r="Q21" s="14"/>
      <c r="R21" s="14"/>
      <c r="S21" s="14"/>
      <c r="T21" s="14"/>
      <c r="U21" s="14"/>
    </row>
    <row r="22" spans="1:21" ht="15" customHeight="1">
      <c r="A22" s="1" t="s">
        <v>160</v>
      </c>
      <c r="B22" s="1"/>
      <c r="C22" s="13">
        <v>111925.28</v>
      </c>
      <c r="D22" s="13">
        <v>0</v>
      </c>
      <c r="E22" s="13">
        <f>925+13367.59</f>
        <v>14292.59</v>
      </c>
      <c r="F22" s="13">
        <v>0</v>
      </c>
      <c r="G22" s="13">
        <v>1100</v>
      </c>
      <c r="H22" s="13">
        <v>0</v>
      </c>
      <c r="I22" s="13">
        <v>0</v>
      </c>
      <c r="J22" s="13">
        <v>443.52</v>
      </c>
      <c r="K22" s="13">
        <v>0</v>
      </c>
      <c r="L22" s="13">
        <v>-114602.37</v>
      </c>
      <c r="M22" s="13">
        <f t="shared" si="0"/>
        <v>13159.020000000004</v>
      </c>
      <c r="N22" s="171"/>
      <c r="O22" s="14"/>
      <c r="P22" s="14"/>
      <c r="Q22" s="14"/>
      <c r="R22" s="14"/>
      <c r="S22" s="14"/>
      <c r="T22" s="14"/>
      <c r="U22" s="14"/>
    </row>
    <row r="23" spans="1:21" ht="15" customHeight="1">
      <c r="A23" s="1" t="s">
        <v>104</v>
      </c>
      <c r="B23" s="1"/>
      <c r="C23" s="13">
        <v>12147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f>70+1400+100+550</f>
        <v>2120</v>
      </c>
      <c r="K23" s="13">
        <v>0</v>
      </c>
      <c r="L23" s="13">
        <v>-13564.84</v>
      </c>
      <c r="M23" s="13">
        <f t="shared" si="0"/>
        <v>702.15999999999985</v>
      </c>
      <c r="N23" s="171"/>
      <c r="O23" s="14"/>
      <c r="P23" s="14"/>
      <c r="Q23" s="14"/>
      <c r="R23" s="14"/>
      <c r="S23" s="14"/>
      <c r="T23" s="14"/>
      <c r="U23" s="14"/>
    </row>
    <row r="24" spans="1:21" ht="15" customHeight="1">
      <c r="A24" s="1" t="s">
        <v>394</v>
      </c>
      <c r="B24" s="1"/>
      <c r="C24" s="13">
        <v>6186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-5469.55</v>
      </c>
      <c r="M24" s="13">
        <f t="shared" si="0"/>
        <v>716.44999999999982</v>
      </c>
      <c r="N24" s="171"/>
      <c r="O24" s="14"/>
      <c r="P24" s="14"/>
      <c r="Q24" s="14"/>
      <c r="R24" s="14"/>
      <c r="S24" s="14"/>
      <c r="T24" s="14"/>
      <c r="U24" s="14"/>
    </row>
    <row r="25" spans="1:21" ht="15" customHeight="1">
      <c r="A25" s="1" t="s">
        <v>161</v>
      </c>
      <c r="B25" s="1"/>
      <c r="C25" s="13">
        <v>12465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-8528.7199999999993</v>
      </c>
      <c r="M25" s="13">
        <f t="shared" si="0"/>
        <v>3936.2800000000007</v>
      </c>
      <c r="N25" s="171"/>
      <c r="O25" s="14"/>
      <c r="P25" s="14"/>
      <c r="Q25" s="14"/>
      <c r="R25" s="14"/>
      <c r="S25" s="14"/>
      <c r="T25" s="14"/>
      <c r="U25" s="14"/>
    </row>
    <row r="26" spans="1:21" ht="15" customHeight="1">
      <c r="A26" s="1" t="s">
        <v>162</v>
      </c>
      <c r="B26" s="1"/>
      <c r="C26" s="13">
        <v>49048.84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72">
        <v>0</v>
      </c>
      <c r="K26" s="13">
        <f>-504.5+504.5</f>
        <v>0</v>
      </c>
      <c r="L26" s="13">
        <v>-42155.16</v>
      </c>
      <c r="M26" s="13">
        <f t="shared" si="0"/>
        <v>6893.679999999993</v>
      </c>
      <c r="N26" s="171"/>
      <c r="O26" s="14"/>
      <c r="P26" s="14"/>
      <c r="Q26" s="14"/>
      <c r="R26" s="14"/>
      <c r="S26" s="14"/>
      <c r="T26" s="14"/>
      <c r="U26" s="14"/>
    </row>
    <row r="27" spans="1:21" ht="15" customHeight="1">
      <c r="A27" s="1" t="s">
        <v>395</v>
      </c>
      <c r="B27" s="1"/>
      <c r="C27" s="13">
        <v>2571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72">
        <v>0</v>
      </c>
      <c r="K27" s="13">
        <v>0</v>
      </c>
      <c r="L27" s="13">
        <v>-1250</v>
      </c>
      <c r="M27" s="13">
        <f t="shared" si="0"/>
        <v>1321</v>
      </c>
      <c r="N27" s="171"/>
      <c r="O27" s="14"/>
      <c r="P27" s="14"/>
      <c r="Q27" s="14"/>
      <c r="R27" s="14"/>
      <c r="S27" s="14"/>
      <c r="T27" s="14"/>
      <c r="U27" s="14"/>
    </row>
    <row r="28" spans="1:21" ht="15" customHeight="1">
      <c r="A28" s="1" t="s">
        <v>396</v>
      </c>
      <c r="B28" s="1"/>
      <c r="C28" s="13">
        <v>1100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72">
        <v>0</v>
      </c>
      <c r="K28" s="13">
        <v>0</v>
      </c>
      <c r="L28" s="13">
        <v>-106.37</v>
      </c>
      <c r="M28" s="13">
        <f t="shared" si="0"/>
        <v>993.63</v>
      </c>
      <c r="N28" s="171"/>
      <c r="O28" s="14"/>
      <c r="P28" s="14"/>
      <c r="Q28" s="14"/>
      <c r="R28" s="14"/>
      <c r="S28" s="14"/>
      <c r="T28" s="14"/>
      <c r="U28" s="14"/>
    </row>
    <row r="29" spans="1:21" ht="15" customHeight="1">
      <c r="A29" s="1" t="s">
        <v>883</v>
      </c>
      <c r="B29" s="1"/>
      <c r="C29" s="13">
        <v>1000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72">
        <v>0</v>
      </c>
      <c r="K29" s="13">
        <v>0</v>
      </c>
      <c r="L29" s="13">
        <v>-250</v>
      </c>
      <c r="M29" s="13">
        <f t="shared" si="0"/>
        <v>750</v>
      </c>
      <c r="N29" s="171"/>
      <c r="O29" s="14"/>
      <c r="P29" s="14"/>
      <c r="Q29" s="14"/>
      <c r="R29" s="14"/>
      <c r="S29" s="14"/>
      <c r="T29" s="14"/>
      <c r="U29" s="14"/>
    </row>
    <row r="30" spans="1:21" ht="15" customHeight="1">
      <c r="A30" s="1" t="s">
        <v>397</v>
      </c>
      <c r="B30" s="1"/>
      <c r="C30" s="13">
        <v>213611</v>
      </c>
      <c r="D30" s="13">
        <v>0</v>
      </c>
      <c r="E30" s="13">
        <v>2507.71</v>
      </c>
      <c r="F30" s="13">
        <v>0</v>
      </c>
      <c r="G30" s="13">
        <v>0</v>
      </c>
      <c r="H30" s="13">
        <v>0</v>
      </c>
      <c r="I30" s="13">
        <v>0</v>
      </c>
      <c r="J30" s="72">
        <v>0</v>
      </c>
      <c r="K30" s="13">
        <v>11165</v>
      </c>
      <c r="L30" s="13">
        <v>-171476.92</v>
      </c>
      <c r="M30" s="13">
        <f t="shared" si="0"/>
        <v>55806.789999999979</v>
      </c>
      <c r="N30" s="171"/>
      <c r="O30" s="14"/>
      <c r="P30" s="14"/>
      <c r="Q30" s="14"/>
      <c r="R30" s="14"/>
      <c r="S30" s="14"/>
      <c r="T30" s="14"/>
      <c r="U30" s="14"/>
    </row>
    <row r="31" spans="1:21" ht="15" customHeight="1">
      <c r="A31" s="1" t="s">
        <v>630</v>
      </c>
      <c r="B31" s="1"/>
      <c r="C31" s="13">
        <v>98117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72">
        <v>0</v>
      </c>
      <c r="K31" s="13">
        <v>0</v>
      </c>
      <c r="L31" s="13">
        <v>-86522.99</v>
      </c>
      <c r="M31" s="13">
        <f t="shared" si="0"/>
        <v>11594.009999999995</v>
      </c>
      <c r="N31" s="171"/>
      <c r="O31" s="14"/>
      <c r="P31" s="14"/>
      <c r="Q31" s="14"/>
      <c r="R31" s="14"/>
      <c r="S31" s="14"/>
      <c r="T31" s="14"/>
      <c r="U31" s="14"/>
    </row>
    <row r="32" spans="1:21" ht="15" customHeight="1">
      <c r="A32" s="1" t="s">
        <v>631</v>
      </c>
      <c r="B32" s="1"/>
      <c r="C32" s="13">
        <v>2455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72">
        <v>0</v>
      </c>
      <c r="K32" s="13">
        <v>0</v>
      </c>
      <c r="L32" s="13">
        <v>-2455</v>
      </c>
      <c r="M32" s="13">
        <f t="shared" si="0"/>
        <v>0</v>
      </c>
      <c r="N32" s="171"/>
      <c r="O32" s="14"/>
      <c r="P32" s="14"/>
      <c r="Q32" s="14"/>
      <c r="R32" s="14"/>
      <c r="S32" s="14"/>
      <c r="T32" s="14"/>
      <c r="U32" s="14"/>
    </row>
    <row r="33" spans="1:21" ht="15" customHeight="1">
      <c r="A33" s="1" t="s">
        <v>163</v>
      </c>
      <c r="B33" s="1"/>
      <c r="C33" s="13">
        <v>3000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72">
        <v>0</v>
      </c>
      <c r="K33" s="13">
        <v>0</v>
      </c>
      <c r="L33" s="13">
        <v>-2949</v>
      </c>
      <c r="M33" s="13">
        <f t="shared" si="0"/>
        <v>51</v>
      </c>
      <c r="N33" s="171"/>
      <c r="O33" s="14"/>
      <c r="P33" s="14"/>
      <c r="Q33" s="14"/>
      <c r="R33" s="14"/>
      <c r="S33" s="14"/>
      <c r="T33" s="14"/>
      <c r="U33" s="14"/>
    </row>
    <row r="34" spans="1:21" ht="15" customHeight="1">
      <c r="A34" s="1" t="s">
        <v>133</v>
      </c>
      <c r="B34" s="1"/>
      <c r="C34" s="79">
        <f t="shared" ref="C34:M34" si="1">SUM(C9:C33)</f>
        <v>1567393.11</v>
      </c>
      <c r="D34" s="79">
        <f t="shared" si="1"/>
        <v>70500</v>
      </c>
      <c r="E34" s="79">
        <f t="shared" si="1"/>
        <v>64519.089999999989</v>
      </c>
      <c r="F34" s="79">
        <f t="shared" si="1"/>
        <v>-9500</v>
      </c>
      <c r="G34" s="79">
        <f t="shared" ref="G34" si="2">SUM(G9:G33)</f>
        <v>22346</v>
      </c>
      <c r="H34" s="79">
        <f t="shared" si="1"/>
        <v>9500</v>
      </c>
      <c r="I34" s="79">
        <f t="shared" si="1"/>
        <v>0</v>
      </c>
      <c r="J34" s="79">
        <f t="shared" si="1"/>
        <v>-76366</v>
      </c>
      <c r="K34" s="79">
        <f t="shared" si="1"/>
        <v>11165</v>
      </c>
      <c r="L34" s="79">
        <f t="shared" si="1"/>
        <v>-1348858.02</v>
      </c>
      <c r="M34" s="79">
        <f t="shared" si="1"/>
        <v>310699.17999999993</v>
      </c>
      <c r="N34" s="171"/>
      <c r="O34" s="14"/>
      <c r="P34" s="14"/>
      <c r="Q34" s="14"/>
      <c r="R34" s="14"/>
      <c r="S34" s="14"/>
      <c r="T34" s="14"/>
      <c r="U34" s="14"/>
    </row>
    <row r="35" spans="1:21" ht="15" customHeight="1">
      <c r="C35" s="14"/>
      <c r="D35" s="14"/>
      <c r="E35" s="14"/>
      <c r="F35" s="14"/>
      <c r="G35" s="14"/>
      <c r="H35" s="14"/>
      <c r="I35" s="14"/>
      <c r="K35" s="14"/>
      <c r="L35" s="74"/>
      <c r="M35" s="14"/>
      <c r="N35" s="171"/>
      <c r="O35" s="14"/>
      <c r="P35" s="14"/>
      <c r="Q35" s="14"/>
      <c r="R35" s="14"/>
      <c r="S35" s="14"/>
      <c r="T35" s="14"/>
      <c r="U35" s="14"/>
    </row>
    <row r="36" spans="1:21" ht="15" customHeight="1">
      <c r="A36" s="2" t="s">
        <v>164</v>
      </c>
      <c r="B36" s="1"/>
      <c r="C36" s="13"/>
      <c r="D36" s="13"/>
      <c r="E36" s="13"/>
      <c r="F36" s="13"/>
      <c r="G36" s="13"/>
      <c r="H36" s="13"/>
      <c r="I36" s="13"/>
      <c r="J36" s="13"/>
      <c r="K36" s="13"/>
      <c r="L36" s="72"/>
      <c r="M36" s="13"/>
      <c r="N36" s="171"/>
      <c r="O36" s="14"/>
      <c r="P36" s="14"/>
      <c r="Q36" s="14"/>
      <c r="R36" s="14"/>
      <c r="S36" s="14"/>
      <c r="T36" s="14"/>
      <c r="U36" s="14"/>
    </row>
    <row r="37" spans="1:21" s="73" customFormat="1" ht="15" customHeight="1">
      <c r="A37" s="69" t="s">
        <v>165</v>
      </c>
      <c r="B37" s="69"/>
      <c r="C37" s="72">
        <v>2096541.95</v>
      </c>
      <c r="D37" s="72">
        <v>0</v>
      </c>
      <c r="E37" s="72">
        <f>2403+200</f>
        <v>2603</v>
      </c>
      <c r="F37" s="72">
        <v>0</v>
      </c>
      <c r="G37" s="72">
        <f>2650+8837</f>
        <v>11487</v>
      </c>
      <c r="H37" s="72">
        <f>53599.87-53599.87</f>
        <v>0</v>
      </c>
      <c r="I37" s="72">
        <v>0</v>
      </c>
      <c r="J37" s="72">
        <v>0</v>
      </c>
      <c r="K37" s="72">
        <f>-8800+8800</f>
        <v>0</v>
      </c>
      <c r="L37" s="72">
        <v>-1909769.78</v>
      </c>
      <c r="M37" s="72">
        <f t="shared" ref="M37:M48" si="3">SUM(C37:L37)</f>
        <v>200862.17000000016</v>
      </c>
      <c r="N37" s="253"/>
      <c r="O37" s="74"/>
      <c r="P37" s="74"/>
      <c r="Q37" s="74"/>
      <c r="R37" s="74"/>
      <c r="S37" s="74"/>
      <c r="T37" s="74"/>
      <c r="U37" s="74"/>
    </row>
    <row r="38" spans="1:21" s="73" customFormat="1" ht="15" customHeight="1">
      <c r="A38" s="69" t="s">
        <v>19</v>
      </c>
      <c r="B38" s="69"/>
      <c r="C38" s="72">
        <v>333013.88</v>
      </c>
      <c r="D38" s="72">
        <v>0</v>
      </c>
      <c r="E38" s="72">
        <v>4500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-268154.37</v>
      </c>
      <c r="M38" s="72">
        <f t="shared" si="3"/>
        <v>69359.510000000009</v>
      </c>
      <c r="N38" s="253"/>
      <c r="O38" s="74"/>
      <c r="P38" s="74"/>
      <c r="Q38" s="74"/>
      <c r="R38" s="74"/>
      <c r="S38" s="74"/>
      <c r="T38" s="74"/>
      <c r="U38" s="74"/>
    </row>
    <row r="39" spans="1:21" ht="15" customHeight="1">
      <c r="A39" s="1" t="s">
        <v>166</v>
      </c>
      <c r="B39" s="1"/>
      <c r="C39" s="13">
        <v>1230887</v>
      </c>
      <c r="D39" s="13">
        <v>0</v>
      </c>
      <c r="E39" s="13">
        <f>1086.23+8750+809.4</f>
        <v>10645.63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-1176560.2</v>
      </c>
      <c r="M39" s="13">
        <f t="shared" si="3"/>
        <v>64972.429999999935</v>
      </c>
      <c r="N39" s="171"/>
      <c r="O39" s="14"/>
      <c r="P39" s="14"/>
      <c r="Q39" s="14"/>
      <c r="R39" s="14"/>
      <c r="S39" s="14"/>
      <c r="T39" s="14"/>
      <c r="U39" s="14"/>
    </row>
    <row r="40" spans="1:21" ht="15" customHeight="1">
      <c r="A40" s="1" t="s">
        <v>20</v>
      </c>
      <c r="B40" s="1"/>
      <c r="C40" s="13">
        <v>104702.5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-95084.53</v>
      </c>
      <c r="M40" s="13">
        <f t="shared" si="3"/>
        <v>9617.9700000000012</v>
      </c>
      <c r="N40" s="171"/>
      <c r="O40" s="14"/>
      <c r="P40" s="14"/>
      <c r="Q40" s="14"/>
      <c r="R40" s="14"/>
      <c r="S40" s="14"/>
      <c r="T40" s="14"/>
      <c r="U40" s="14"/>
    </row>
    <row r="41" spans="1:21" ht="15" customHeight="1">
      <c r="A41" s="1" t="s">
        <v>398</v>
      </c>
      <c r="B41" s="1"/>
      <c r="C41" s="13">
        <v>10080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-2905</v>
      </c>
      <c r="M41" s="13">
        <f t="shared" si="3"/>
        <v>7175</v>
      </c>
      <c r="N41" s="171"/>
      <c r="O41" s="14"/>
      <c r="P41" s="14"/>
      <c r="Q41" s="14"/>
      <c r="R41" s="14"/>
      <c r="S41" s="14"/>
      <c r="T41" s="14"/>
      <c r="U41" s="14"/>
    </row>
    <row r="42" spans="1:21" ht="15" customHeight="1">
      <c r="A42" s="1" t="s">
        <v>399</v>
      </c>
      <c r="B42" s="1"/>
      <c r="C42" s="13">
        <v>7580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-3325</v>
      </c>
      <c r="M42" s="13">
        <f t="shared" si="3"/>
        <v>4255</v>
      </c>
      <c r="N42" s="171"/>
      <c r="O42" s="14"/>
      <c r="P42" s="14"/>
      <c r="Q42" s="14"/>
      <c r="R42" s="14"/>
      <c r="S42" s="14"/>
      <c r="T42" s="14"/>
      <c r="U42" s="14"/>
    </row>
    <row r="43" spans="1:21" ht="15" customHeight="1">
      <c r="A43" s="1" t="s">
        <v>257</v>
      </c>
      <c r="B43" s="1"/>
      <c r="C43" s="13">
        <v>4000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f t="shared" si="3"/>
        <v>4000</v>
      </c>
      <c r="N43" s="171"/>
      <c r="O43" s="14"/>
      <c r="P43" s="14"/>
      <c r="Q43" s="14"/>
      <c r="R43" s="14"/>
      <c r="S43" s="14"/>
      <c r="T43" s="14"/>
      <c r="U43" s="14"/>
    </row>
    <row r="44" spans="1:21" ht="15" customHeight="1">
      <c r="A44" s="1" t="s">
        <v>400</v>
      </c>
      <c r="B44" s="1"/>
      <c r="C44" s="13">
        <v>30000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-14525</v>
      </c>
      <c r="M44" s="13">
        <f t="shared" si="3"/>
        <v>15475</v>
      </c>
      <c r="N44" s="171"/>
      <c r="O44" s="14"/>
      <c r="P44" s="14"/>
      <c r="Q44" s="14"/>
      <c r="R44" s="14"/>
      <c r="S44" s="14"/>
      <c r="T44" s="14"/>
      <c r="U44" s="14"/>
    </row>
    <row r="45" spans="1:21" ht="15" customHeight="1">
      <c r="A45" s="1" t="s">
        <v>401</v>
      </c>
      <c r="B45" s="1"/>
      <c r="C45" s="13">
        <v>19639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-10660.16</v>
      </c>
      <c r="M45" s="13">
        <f t="shared" si="3"/>
        <v>8978.84</v>
      </c>
      <c r="N45" s="171"/>
      <c r="O45" s="14"/>
      <c r="P45" s="14"/>
      <c r="Q45" s="14"/>
      <c r="R45" s="14"/>
      <c r="S45" s="14"/>
      <c r="T45" s="14"/>
      <c r="U45" s="14"/>
    </row>
    <row r="46" spans="1:21" ht="15" customHeight="1">
      <c r="A46" s="1" t="s">
        <v>353</v>
      </c>
      <c r="B46" s="1"/>
      <c r="C46" s="13">
        <v>42255.54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-39307.550000000003</v>
      </c>
      <c r="M46" s="13">
        <f t="shared" si="3"/>
        <v>2947.989999999998</v>
      </c>
      <c r="N46" s="171"/>
      <c r="O46" s="14"/>
      <c r="P46" s="14"/>
      <c r="Q46" s="14"/>
      <c r="R46" s="14"/>
      <c r="S46" s="14"/>
      <c r="T46" s="14"/>
      <c r="U46" s="14"/>
    </row>
    <row r="47" spans="1:21" ht="15" customHeight="1">
      <c r="A47" s="1" t="s">
        <v>337</v>
      </c>
      <c r="B47" s="1"/>
      <c r="C47" s="13">
        <v>24090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-21902.62</v>
      </c>
      <c r="M47" s="13">
        <f t="shared" si="3"/>
        <v>2187.380000000001</v>
      </c>
      <c r="N47" s="171"/>
      <c r="O47" s="14"/>
      <c r="P47" s="14"/>
      <c r="Q47" s="14"/>
      <c r="R47" s="14"/>
      <c r="S47" s="14"/>
      <c r="T47" s="14"/>
      <c r="U47" s="14"/>
    </row>
    <row r="48" spans="1:21" ht="15" customHeight="1">
      <c r="A48" s="1" t="s">
        <v>346</v>
      </c>
      <c r="B48" s="1"/>
      <c r="C48" s="13">
        <v>100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f t="shared" si="3"/>
        <v>100</v>
      </c>
      <c r="N48" s="171"/>
      <c r="O48" s="14"/>
      <c r="P48" s="14"/>
      <c r="Q48" s="14"/>
      <c r="R48" s="14"/>
      <c r="S48" s="14"/>
      <c r="T48" s="14"/>
      <c r="U48" s="14"/>
    </row>
    <row r="49" spans="1:21" ht="15" customHeight="1">
      <c r="A49" s="1"/>
      <c r="B49" s="1"/>
      <c r="C49" s="79">
        <f t="shared" ref="C49:M49" si="4">SUM(C37:C48)</f>
        <v>3902889.87</v>
      </c>
      <c r="D49" s="79">
        <f t="shared" si="4"/>
        <v>0</v>
      </c>
      <c r="E49" s="79">
        <f t="shared" si="4"/>
        <v>17748.629999999997</v>
      </c>
      <c r="F49" s="79">
        <f t="shared" si="4"/>
        <v>0</v>
      </c>
      <c r="G49" s="79">
        <f t="shared" ref="G49" si="5">SUM(G37:G48)</f>
        <v>11487</v>
      </c>
      <c r="H49" s="79">
        <f t="shared" si="4"/>
        <v>0</v>
      </c>
      <c r="I49" s="79">
        <f t="shared" si="4"/>
        <v>0</v>
      </c>
      <c r="J49" s="79">
        <f t="shared" si="4"/>
        <v>0</v>
      </c>
      <c r="K49" s="79">
        <f t="shared" si="4"/>
        <v>0</v>
      </c>
      <c r="L49" s="79">
        <f t="shared" si="4"/>
        <v>-3542194.2099999995</v>
      </c>
      <c r="M49" s="79">
        <f t="shared" si="4"/>
        <v>389931.2900000001</v>
      </c>
      <c r="N49" s="171"/>
      <c r="O49" s="14"/>
      <c r="P49" s="14"/>
      <c r="Q49" s="14"/>
      <c r="R49" s="14"/>
      <c r="S49" s="14"/>
      <c r="T49" s="14"/>
      <c r="U49" s="14"/>
    </row>
    <row r="50" spans="1:21" ht="15" customHeight="1">
      <c r="C50" s="14"/>
      <c r="D50" s="14"/>
      <c r="E50" s="14"/>
      <c r="F50" s="14"/>
      <c r="G50" s="14"/>
      <c r="H50" s="14"/>
      <c r="I50" s="14"/>
      <c r="K50" s="14"/>
      <c r="L50" s="14"/>
      <c r="M50" s="14"/>
      <c r="N50" s="171"/>
      <c r="O50" s="14"/>
      <c r="P50" s="14"/>
      <c r="Q50" s="14"/>
      <c r="R50" s="14"/>
      <c r="S50" s="14"/>
      <c r="T50" s="14"/>
      <c r="U50" s="14"/>
    </row>
    <row r="51" spans="1:21" ht="15" customHeight="1">
      <c r="A51" s="2" t="s">
        <v>167</v>
      </c>
      <c r="B51" s="1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71"/>
      <c r="O51" s="14"/>
      <c r="P51" s="14"/>
      <c r="Q51" s="14"/>
      <c r="R51" s="14"/>
      <c r="S51" s="14"/>
      <c r="T51" s="14"/>
      <c r="U51" s="14"/>
    </row>
    <row r="52" spans="1:21" ht="15" customHeight="1">
      <c r="A52" s="69" t="s">
        <v>13</v>
      </c>
      <c r="B52" s="1"/>
      <c r="C52" s="13">
        <v>4424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-4424</v>
      </c>
      <c r="M52" s="13">
        <f t="shared" ref="M52:M55" si="6">SUM(C52:L52)</f>
        <v>0</v>
      </c>
      <c r="N52" s="171"/>
      <c r="O52" s="14"/>
      <c r="P52" s="14"/>
      <c r="Q52" s="14"/>
      <c r="R52" s="14"/>
      <c r="S52" s="14"/>
      <c r="T52" s="14"/>
      <c r="U52" s="14"/>
    </row>
    <row r="53" spans="1:21" ht="15" customHeight="1">
      <c r="A53" s="69" t="s">
        <v>632</v>
      </c>
      <c r="B53" s="1"/>
      <c r="C53" s="13">
        <v>11512609.460000001</v>
      </c>
      <c r="D53" s="13">
        <v>11165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-11165</v>
      </c>
      <c r="L53" s="13">
        <v>-11512609.460000001</v>
      </c>
      <c r="M53" s="13">
        <f t="shared" si="6"/>
        <v>0</v>
      </c>
      <c r="N53" s="171"/>
      <c r="O53" s="14"/>
      <c r="P53" s="14"/>
      <c r="Q53" s="14"/>
      <c r="R53" s="14"/>
      <c r="S53" s="14"/>
      <c r="T53" s="14"/>
      <c r="U53" s="14"/>
    </row>
    <row r="54" spans="1:21" ht="15" customHeight="1">
      <c r="A54" s="69" t="s">
        <v>354</v>
      </c>
      <c r="B54" s="1"/>
      <c r="C54" s="13">
        <v>27804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-27804</v>
      </c>
      <c r="M54" s="13">
        <f t="shared" si="6"/>
        <v>0</v>
      </c>
      <c r="N54" s="171"/>
      <c r="O54" s="14"/>
      <c r="P54" s="14"/>
      <c r="Q54" s="14"/>
      <c r="R54" s="14"/>
      <c r="S54" s="14"/>
      <c r="T54" s="14"/>
      <c r="U54" s="14"/>
    </row>
    <row r="55" spans="1:21" ht="15" customHeight="1">
      <c r="A55" s="69" t="s">
        <v>633</v>
      </c>
      <c r="B55" s="1"/>
      <c r="C55" s="13">
        <v>1796364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100000</v>
      </c>
      <c r="J55" s="13">
        <v>34366</v>
      </c>
      <c r="K55" s="13">
        <v>0</v>
      </c>
      <c r="L55" s="13">
        <v>-1908108</v>
      </c>
      <c r="M55" s="13">
        <f t="shared" si="6"/>
        <v>22622</v>
      </c>
      <c r="N55" s="171"/>
      <c r="O55" s="14"/>
      <c r="P55" s="14"/>
      <c r="Q55" s="14"/>
      <c r="R55" s="14"/>
      <c r="S55" s="14"/>
      <c r="T55" s="14"/>
      <c r="U55" s="14"/>
    </row>
    <row r="56" spans="1:21" ht="15" customHeight="1">
      <c r="A56" s="69"/>
      <c r="B56" s="1"/>
      <c r="C56" s="79">
        <f>SUM(C52:C55)</f>
        <v>13341201.460000001</v>
      </c>
      <c r="D56" s="79">
        <f>SUM(D52:D55)</f>
        <v>11165</v>
      </c>
      <c r="E56" s="79">
        <f t="shared" ref="E56:M56" si="7">SUM(E52:E55)</f>
        <v>0</v>
      </c>
      <c r="F56" s="79">
        <f t="shared" si="7"/>
        <v>0</v>
      </c>
      <c r="G56" s="79">
        <f t="shared" ref="G56" si="8">SUM(G52:G55)</f>
        <v>0</v>
      </c>
      <c r="H56" s="79">
        <f t="shared" si="7"/>
        <v>0</v>
      </c>
      <c r="I56" s="79">
        <f t="shared" si="7"/>
        <v>100000</v>
      </c>
      <c r="J56" s="79">
        <f t="shared" si="7"/>
        <v>34366</v>
      </c>
      <c r="K56" s="79">
        <f t="shared" si="7"/>
        <v>-11165</v>
      </c>
      <c r="L56" s="79">
        <f t="shared" si="7"/>
        <v>-13452945.460000001</v>
      </c>
      <c r="M56" s="79">
        <f t="shared" si="7"/>
        <v>22622</v>
      </c>
      <c r="N56" s="171"/>
      <c r="O56" s="14"/>
      <c r="P56" s="14"/>
      <c r="Q56" s="14"/>
      <c r="R56" s="14"/>
      <c r="S56" s="14"/>
      <c r="T56" s="14"/>
      <c r="U56" s="14"/>
    </row>
    <row r="57" spans="1:21" ht="15" customHeight="1">
      <c r="C57" s="14"/>
      <c r="D57" s="14"/>
      <c r="E57" s="14"/>
      <c r="F57" s="14"/>
      <c r="G57" s="14"/>
      <c r="H57" s="14"/>
      <c r="I57" s="14"/>
      <c r="K57" s="14"/>
      <c r="L57" s="14"/>
      <c r="M57" s="14"/>
      <c r="N57" s="171"/>
      <c r="O57" s="14"/>
      <c r="P57" s="14"/>
      <c r="Q57" s="14"/>
      <c r="R57" s="14"/>
      <c r="S57" s="14"/>
      <c r="T57" s="14"/>
      <c r="U57" s="14"/>
    </row>
    <row r="58" spans="1:21" ht="15" customHeight="1">
      <c r="A58" s="2" t="s">
        <v>97</v>
      </c>
      <c r="B58" s="1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71"/>
      <c r="O58" s="14"/>
      <c r="P58" s="14"/>
      <c r="Q58" s="14"/>
      <c r="R58" s="14"/>
      <c r="S58" s="14"/>
      <c r="T58" s="14"/>
      <c r="U58" s="14"/>
    </row>
    <row r="59" spans="1:21" ht="15" customHeight="1">
      <c r="A59" s="1" t="s">
        <v>137</v>
      </c>
      <c r="B59" s="1"/>
      <c r="C59" s="13">
        <v>480002</v>
      </c>
      <c r="D59" s="72">
        <v>45000</v>
      </c>
      <c r="E59" s="72">
        <v>36.299999999999997</v>
      </c>
      <c r="F59" s="72">
        <v>0</v>
      </c>
      <c r="G59" s="13">
        <v>0</v>
      </c>
      <c r="H59" s="13">
        <v>0</v>
      </c>
      <c r="I59" s="13">
        <v>0</v>
      </c>
      <c r="J59" s="13">
        <f>500+250+250</f>
        <v>1000</v>
      </c>
      <c r="K59" s="13">
        <f>-3000+3000-1000+1000-500</f>
        <v>-500</v>
      </c>
      <c r="L59" s="13">
        <v>-492017.18</v>
      </c>
      <c r="M59" s="13">
        <f t="shared" ref="M59:M66" si="9">SUM(C59:L59)</f>
        <v>33521.120000000054</v>
      </c>
      <c r="N59" s="171"/>
      <c r="O59" s="14"/>
      <c r="P59" s="14"/>
      <c r="Q59" s="14"/>
      <c r="R59" s="14"/>
      <c r="S59" s="14"/>
      <c r="T59" s="14"/>
      <c r="U59" s="14"/>
    </row>
    <row r="60" spans="1:21" ht="15" hidden="1" customHeight="1">
      <c r="A60" s="1" t="s">
        <v>721</v>
      </c>
      <c r="B60" s="1"/>
      <c r="C60" s="13">
        <v>0</v>
      </c>
      <c r="D60" s="72">
        <v>0</v>
      </c>
      <c r="E60" s="72">
        <v>0</v>
      </c>
      <c r="F60" s="72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f t="shared" si="9"/>
        <v>0</v>
      </c>
      <c r="N60" s="171"/>
      <c r="O60" s="14"/>
      <c r="P60" s="14"/>
      <c r="Q60" s="14"/>
      <c r="R60" s="14"/>
      <c r="S60" s="14"/>
      <c r="T60" s="14"/>
      <c r="U60" s="14"/>
    </row>
    <row r="61" spans="1:21" ht="15" customHeight="1">
      <c r="A61" s="1" t="s">
        <v>338</v>
      </c>
      <c r="B61" s="1"/>
      <c r="C61" s="13">
        <v>100000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-126578.49</v>
      </c>
      <c r="M61" s="13">
        <f t="shared" si="9"/>
        <v>-26578.490000000005</v>
      </c>
      <c r="N61" s="171"/>
      <c r="O61" s="14"/>
      <c r="P61" s="14"/>
      <c r="Q61" s="14"/>
      <c r="R61" s="14"/>
      <c r="S61" s="14"/>
      <c r="T61" s="14"/>
      <c r="U61" s="14"/>
    </row>
    <row r="62" spans="1:21" ht="15" customHeight="1">
      <c r="A62" s="1" t="s">
        <v>249</v>
      </c>
      <c r="B62" s="1"/>
      <c r="C62" s="13">
        <v>13000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500</v>
      </c>
      <c r="L62" s="13">
        <v>-12529.98</v>
      </c>
      <c r="M62" s="13">
        <f t="shared" si="9"/>
        <v>970.02000000000044</v>
      </c>
      <c r="N62" s="171"/>
      <c r="O62" s="14"/>
      <c r="P62" s="14"/>
      <c r="Q62" s="14"/>
      <c r="R62" s="14"/>
      <c r="S62" s="14"/>
      <c r="T62" s="14"/>
      <c r="U62" s="14"/>
    </row>
    <row r="63" spans="1:21" ht="15" customHeight="1">
      <c r="A63" s="1" t="s">
        <v>402</v>
      </c>
      <c r="B63" s="1"/>
      <c r="C63" s="13">
        <v>567162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f>3200+12800</f>
        <v>16000</v>
      </c>
      <c r="K63" s="13">
        <v>0</v>
      </c>
      <c r="L63" s="13">
        <v>-581035.65</v>
      </c>
      <c r="M63" s="13">
        <f t="shared" si="9"/>
        <v>2126.3499999999767</v>
      </c>
      <c r="N63" s="171"/>
      <c r="O63" s="14"/>
      <c r="P63" s="14"/>
      <c r="Q63" s="14"/>
      <c r="R63" s="14"/>
      <c r="S63" s="14"/>
      <c r="T63" s="14"/>
      <c r="U63" s="14"/>
    </row>
    <row r="64" spans="1:21" ht="15" customHeight="1">
      <c r="A64" s="1" t="s">
        <v>403</v>
      </c>
      <c r="B64" s="1"/>
      <c r="C64" s="13">
        <v>184725.6</v>
      </c>
      <c r="D64" s="13">
        <v>0</v>
      </c>
      <c r="E64" s="13">
        <v>2000</v>
      </c>
      <c r="F64" s="13">
        <v>0</v>
      </c>
      <c r="G64" s="13">
        <v>0</v>
      </c>
      <c r="H64" s="13">
        <v>0</v>
      </c>
      <c r="I64" s="13">
        <v>0</v>
      </c>
      <c r="J64" s="13">
        <v>25000</v>
      </c>
      <c r="K64" s="13">
        <f>-584.08+584.08</f>
        <v>0</v>
      </c>
      <c r="L64" s="13">
        <v>-199021.15</v>
      </c>
      <c r="M64" s="13">
        <f t="shared" si="9"/>
        <v>12704.450000000012</v>
      </c>
      <c r="N64" s="171"/>
      <c r="O64" s="14"/>
      <c r="P64" s="14"/>
      <c r="Q64" s="14"/>
      <c r="R64" s="14"/>
      <c r="S64" s="14"/>
      <c r="T64" s="14"/>
      <c r="U64" s="14"/>
    </row>
    <row r="65" spans="1:21" ht="15" hidden="1" customHeight="1">
      <c r="A65" s="1" t="s">
        <v>250</v>
      </c>
      <c r="B65" s="1"/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f t="shared" si="9"/>
        <v>0</v>
      </c>
      <c r="N65" s="171"/>
      <c r="O65" s="14"/>
      <c r="P65" s="14"/>
      <c r="Q65" s="14"/>
      <c r="R65" s="14"/>
      <c r="S65" s="14"/>
      <c r="T65" s="14"/>
      <c r="U65" s="14"/>
    </row>
    <row r="66" spans="1:21" ht="15" customHeight="1">
      <c r="A66" s="1" t="s">
        <v>168</v>
      </c>
      <c r="B66" s="1"/>
      <c r="C66" s="13">
        <v>28155</v>
      </c>
      <c r="D66" s="13">
        <f>500+3500+3000</f>
        <v>7000</v>
      </c>
      <c r="E66" s="13">
        <f>500+1850+1248.83</f>
        <v>3598.83</v>
      </c>
      <c r="F66" s="13">
        <v>-1000</v>
      </c>
      <c r="G66" s="13">
        <v>1000</v>
      </c>
      <c r="H66" s="13">
        <v>0</v>
      </c>
      <c r="I66" s="13">
        <v>0</v>
      </c>
      <c r="J66" s="13">
        <v>0</v>
      </c>
      <c r="K66" s="13">
        <f>-150+150</f>
        <v>0</v>
      </c>
      <c r="L66" s="13">
        <v>-33228.54</v>
      </c>
      <c r="M66" s="13">
        <f t="shared" si="9"/>
        <v>5525.2900000000009</v>
      </c>
      <c r="N66" s="171"/>
      <c r="O66" s="14"/>
      <c r="P66" s="14"/>
      <c r="Q66" s="14"/>
      <c r="R66" s="14"/>
      <c r="S66" s="14"/>
      <c r="T66" s="14"/>
      <c r="U66" s="14"/>
    </row>
    <row r="67" spans="1:21" ht="15" customHeight="1">
      <c r="A67" s="1"/>
      <c r="B67" s="1"/>
      <c r="C67" s="79">
        <f>SUM(C59:C66)</f>
        <v>1373044.6</v>
      </c>
      <c r="D67" s="79">
        <f>SUM(D59:D66)</f>
        <v>52000</v>
      </c>
      <c r="E67" s="79">
        <f t="shared" ref="E67:M67" si="10">SUM(E59:E66)</f>
        <v>5635.13</v>
      </c>
      <c r="F67" s="79">
        <f t="shared" si="10"/>
        <v>-1000</v>
      </c>
      <c r="G67" s="79">
        <f t="shared" ref="G67" si="11">SUM(G59:G66)</f>
        <v>1000</v>
      </c>
      <c r="H67" s="79">
        <f t="shared" si="10"/>
        <v>0</v>
      </c>
      <c r="I67" s="79">
        <f t="shared" si="10"/>
        <v>0</v>
      </c>
      <c r="J67" s="79">
        <f t="shared" si="10"/>
        <v>42000</v>
      </c>
      <c r="K67" s="79">
        <f t="shared" si="10"/>
        <v>0</v>
      </c>
      <c r="L67" s="79">
        <f t="shared" si="10"/>
        <v>-1444410.99</v>
      </c>
      <c r="M67" s="79">
        <f t="shared" si="10"/>
        <v>28268.740000000038</v>
      </c>
      <c r="N67" s="171"/>
      <c r="O67" s="14"/>
      <c r="P67" s="14"/>
      <c r="Q67" s="14"/>
      <c r="R67" s="14"/>
      <c r="S67" s="14"/>
      <c r="T67" s="14"/>
      <c r="U67" s="14"/>
    </row>
    <row r="68" spans="1:21" ht="15" customHeight="1">
      <c r="C68" s="14"/>
      <c r="D68" s="14"/>
      <c r="E68" s="14"/>
      <c r="F68" s="14"/>
      <c r="G68" s="14"/>
      <c r="H68" s="14"/>
      <c r="I68" s="14"/>
      <c r="K68" s="14"/>
      <c r="L68" s="14"/>
      <c r="M68" s="14"/>
      <c r="N68" s="171"/>
      <c r="O68" s="14"/>
      <c r="P68" s="14"/>
      <c r="Q68" s="14"/>
      <c r="R68" s="14"/>
      <c r="S68" s="14"/>
      <c r="T68" s="14"/>
      <c r="U68" s="14"/>
    </row>
    <row r="69" spans="1:21" ht="15" customHeight="1">
      <c r="A69" s="2" t="s">
        <v>169</v>
      </c>
      <c r="B69" s="1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71"/>
      <c r="O69" s="14"/>
      <c r="P69" s="14"/>
      <c r="Q69" s="14"/>
      <c r="R69" s="14"/>
      <c r="S69" s="14"/>
      <c r="T69" s="14"/>
      <c r="U69" s="14"/>
    </row>
    <row r="70" spans="1:21" ht="15" customHeight="1">
      <c r="A70" s="1" t="s">
        <v>251</v>
      </c>
      <c r="B70" s="1"/>
      <c r="C70" s="13">
        <v>114903.26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-99278.16</v>
      </c>
      <c r="M70" s="13">
        <f t="shared" ref="M70:M73" si="12">SUM(C70:L70)</f>
        <v>15625.099999999991</v>
      </c>
      <c r="N70" s="171"/>
      <c r="O70" s="14"/>
      <c r="P70" s="14"/>
      <c r="Q70" s="14"/>
      <c r="R70" s="14"/>
      <c r="S70" s="14"/>
      <c r="T70" s="14"/>
      <c r="U70" s="14"/>
    </row>
    <row r="71" spans="1:21" ht="15" customHeight="1">
      <c r="A71" s="1" t="s">
        <v>170</v>
      </c>
      <c r="B71" s="1"/>
      <c r="C71" s="13">
        <v>156798.62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-143379.99</v>
      </c>
      <c r="M71" s="13">
        <f t="shared" si="12"/>
        <v>13418.630000000005</v>
      </c>
      <c r="N71" s="171"/>
      <c r="O71" s="14"/>
      <c r="P71" s="14"/>
      <c r="Q71" s="14"/>
      <c r="R71" s="14"/>
      <c r="S71" s="14"/>
      <c r="T71" s="14"/>
      <c r="U71" s="14"/>
    </row>
    <row r="72" spans="1:21" ht="15" customHeight="1">
      <c r="A72" s="1" t="s">
        <v>171</v>
      </c>
      <c r="B72" s="1"/>
      <c r="C72" s="13">
        <v>180750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/>
      <c r="L72" s="13">
        <v>-139070.23000000001</v>
      </c>
      <c r="M72" s="13">
        <f t="shared" si="12"/>
        <v>41679.76999999999</v>
      </c>
      <c r="N72" s="171"/>
      <c r="O72" s="14"/>
      <c r="P72" s="14"/>
      <c r="Q72" s="14"/>
      <c r="R72" s="14"/>
      <c r="S72" s="14"/>
      <c r="T72" s="14"/>
      <c r="U72" s="14"/>
    </row>
    <row r="73" spans="1:21" ht="15" customHeight="1">
      <c r="A73" s="1" t="s">
        <v>14</v>
      </c>
      <c r="B73" s="1"/>
      <c r="C73" s="13">
        <v>2200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-1946.8</v>
      </c>
      <c r="M73" s="13">
        <f t="shared" si="12"/>
        <v>253.20000000000005</v>
      </c>
      <c r="N73" s="171"/>
      <c r="O73" s="14"/>
      <c r="P73" s="14"/>
      <c r="Q73" s="14"/>
      <c r="R73" s="14"/>
      <c r="S73" s="14"/>
      <c r="T73" s="14"/>
      <c r="U73" s="14"/>
    </row>
    <row r="74" spans="1:21" ht="15" customHeight="1">
      <c r="A74" s="1"/>
      <c r="B74" s="1"/>
      <c r="C74" s="79">
        <f t="shared" ref="C74:M74" si="13">SUM(C70:C73)</f>
        <v>454651.88</v>
      </c>
      <c r="D74" s="79">
        <f t="shared" si="13"/>
        <v>0</v>
      </c>
      <c r="E74" s="79">
        <f t="shared" si="13"/>
        <v>0</v>
      </c>
      <c r="F74" s="79">
        <f t="shared" si="13"/>
        <v>0</v>
      </c>
      <c r="G74" s="79">
        <f t="shared" ref="G74" si="14">SUM(G70:G73)</f>
        <v>0</v>
      </c>
      <c r="H74" s="79">
        <f t="shared" si="13"/>
        <v>0</v>
      </c>
      <c r="I74" s="79">
        <f t="shared" si="13"/>
        <v>0</v>
      </c>
      <c r="J74" s="79">
        <f t="shared" si="13"/>
        <v>0</v>
      </c>
      <c r="K74" s="79">
        <f t="shared" si="13"/>
        <v>0</v>
      </c>
      <c r="L74" s="79">
        <f t="shared" si="13"/>
        <v>-383675.18</v>
      </c>
      <c r="M74" s="79">
        <f t="shared" si="13"/>
        <v>70976.699999999983</v>
      </c>
      <c r="N74" s="171"/>
      <c r="O74" s="14"/>
      <c r="P74" s="14"/>
      <c r="Q74" s="14"/>
      <c r="R74" s="14"/>
      <c r="S74" s="14"/>
      <c r="T74" s="14"/>
      <c r="U74" s="14"/>
    </row>
    <row r="75" spans="1:21" ht="15" customHeight="1">
      <c r="C75" s="14"/>
      <c r="D75" s="14"/>
      <c r="E75" s="14"/>
      <c r="F75" s="14"/>
      <c r="G75" s="14"/>
      <c r="H75" s="14"/>
      <c r="I75" s="14"/>
      <c r="K75" s="14"/>
      <c r="L75" s="14"/>
      <c r="M75" s="14"/>
      <c r="N75" s="171"/>
      <c r="O75" s="14"/>
      <c r="P75" s="14"/>
      <c r="Q75" s="14"/>
      <c r="R75" s="14"/>
      <c r="S75" s="14"/>
      <c r="T75" s="14"/>
      <c r="U75" s="14"/>
    </row>
    <row r="76" spans="1:21" ht="15" customHeight="1">
      <c r="A76" s="2" t="s">
        <v>172</v>
      </c>
      <c r="B76" s="1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71"/>
      <c r="O76" s="14"/>
      <c r="P76" s="14"/>
      <c r="Q76" s="14"/>
      <c r="R76" s="14"/>
      <c r="S76" s="14"/>
      <c r="T76" s="14"/>
      <c r="U76" s="14"/>
    </row>
    <row r="77" spans="1:21" ht="15" customHeight="1">
      <c r="A77" s="1" t="s">
        <v>173</v>
      </c>
      <c r="B77" s="1"/>
      <c r="C77" s="13">
        <v>145889</v>
      </c>
      <c r="D77" s="13">
        <v>0</v>
      </c>
      <c r="E77" s="13">
        <v>15000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-127597.8</v>
      </c>
      <c r="M77" s="13">
        <f t="shared" ref="M77:M82" si="15">SUM(C77:L77)</f>
        <v>33291.199999999997</v>
      </c>
      <c r="N77" s="171"/>
      <c r="O77" s="14"/>
      <c r="P77" s="14"/>
      <c r="Q77" s="14"/>
      <c r="R77" s="14"/>
      <c r="S77" s="14"/>
      <c r="T77" s="14"/>
      <c r="U77" s="14"/>
    </row>
    <row r="78" spans="1:21" ht="15" hidden="1" customHeight="1">
      <c r="A78" s="1" t="s">
        <v>404</v>
      </c>
      <c r="B78" s="1"/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f t="shared" si="15"/>
        <v>0</v>
      </c>
      <c r="N78" s="171"/>
      <c r="O78" s="14"/>
      <c r="P78" s="14"/>
      <c r="Q78" s="14"/>
      <c r="R78" s="14"/>
      <c r="S78" s="14"/>
      <c r="T78" s="14"/>
      <c r="U78" s="14"/>
    </row>
    <row r="79" spans="1:21" ht="15" customHeight="1">
      <c r="A79" s="1" t="s">
        <v>635</v>
      </c>
      <c r="B79" s="1"/>
      <c r="C79" s="13">
        <v>3000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-3000</v>
      </c>
      <c r="M79" s="13">
        <f t="shared" si="15"/>
        <v>0</v>
      </c>
      <c r="N79" s="171"/>
      <c r="O79" s="14"/>
      <c r="P79" s="14"/>
      <c r="Q79" s="14"/>
      <c r="R79" s="14"/>
      <c r="S79" s="14"/>
      <c r="T79" s="14"/>
      <c r="U79" s="14"/>
    </row>
    <row r="80" spans="1:21" ht="15" customHeight="1">
      <c r="A80" s="1" t="s">
        <v>636</v>
      </c>
      <c r="B80" s="1"/>
      <c r="C80" s="13">
        <v>0</v>
      </c>
      <c r="D80" s="13">
        <v>0</v>
      </c>
      <c r="E80" s="13">
        <v>26342.23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-21547.88</v>
      </c>
      <c r="M80" s="13">
        <f t="shared" si="15"/>
        <v>4794.3499999999985</v>
      </c>
      <c r="N80" s="171"/>
      <c r="O80" s="14"/>
      <c r="P80" s="14"/>
      <c r="Q80" s="14"/>
      <c r="R80" s="14"/>
      <c r="S80" s="14"/>
      <c r="T80" s="14"/>
      <c r="U80" s="14"/>
    </row>
    <row r="81" spans="1:21" ht="15" customHeight="1">
      <c r="A81" s="1" t="s">
        <v>634</v>
      </c>
      <c r="B81" s="1"/>
      <c r="C81" s="13">
        <v>1500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f t="shared" si="15"/>
        <v>1500</v>
      </c>
      <c r="N81" s="171"/>
      <c r="O81" s="14"/>
      <c r="P81" s="14"/>
      <c r="Q81" s="14"/>
      <c r="R81" s="14"/>
      <c r="S81" s="14"/>
      <c r="T81" s="14"/>
      <c r="U81" s="14"/>
    </row>
    <row r="82" spans="1:21" ht="15" customHeight="1">
      <c r="A82" s="1" t="s">
        <v>174</v>
      </c>
      <c r="B82" s="1"/>
      <c r="C82" s="13">
        <v>500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f t="shared" si="15"/>
        <v>500</v>
      </c>
      <c r="N82" s="171"/>
      <c r="O82" s="14"/>
      <c r="P82" s="14"/>
      <c r="Q82" s="14"/>
      <c r="R82" s="14"/>
      <c r="S82" s="14"/>
      <c r="T82" s="14"/>
      <c r="U82" s="14"/>
    </row>
    <row r="83" spans="1:21" ht="15" customHeight="1">
      <c r="A83" s="1"/>
      <c r="B83" s="1"/>
      <c r="C83" s="79">
        <f t="shared" ref="C83:M83" si="16">SUM(C77:C82)</f>
        <v>150889</v>
      </c>
      <c r="D83" s="79">
        <f t="shared" si="16"/>
        <v>0</v>
      </c>
      <c r="E83" s="79">
        <f t="shared" si="16"/>
        <v>41342.229999999996</v>
      </c>
      <c r="F83" s="79">
        <f t="shared" si="16"/>
        <v>0</v>
      </c>
      <c r="G83" s="79">
        <f t="shared" ref="G83" si="17">SUM(G77:G82)</f>
        <v>0</v>
      </c>
      <c r="H83" s="79">
        <f t="shared" si="16"/>
        <v>0</v>
      </c>
      <c r="I83" s="79">
        <f t="shared" si="16"/>
        <v>0</v>
      </c>
      <c r="J83" s="79">
        <f t="shared" si="16"/>
        <v>0</v>
      </c>
      <c r="K83" s="79">
        <f t="shared" si="16"/>
        <v>0</v>
      </c>
      <c r="L83" s="79">
        <f t="shared" si="16"/>
        <v>-152145.68</v>
      </c>
      <c r="M83" s="79">
        <f t="shared" si="16"/>
        <v>40085.549999999996</v>
      </c>
      <c r="N83" s="171"/>
      <c r="O83" s="14"/>
      <c r="P83" s="14"/>
      <c r="Q83" s="14"/>
      <c r="R83" s="14"/>
      <c r="S83" s="14"/>
      <c r="T83" s="14"/>
      <c r="U83" s="14"/>
    </row>
    <row r="84" spans="1:21" ht="15" customHeight="1">
      <c r="C84" s="14"/>
      <c r="D84" s="14"/>
      <c r="E84" s="14"/>
      <c r="F84" s="14"/>
      <c r="G84" s="14"/>
      <c r="H84" s="14"/>
      <c r="I84" s="14"/>
      <c r="K84" s="14"/>
      <c r="L84" s="14"/>
      <c r="M84" s="14"/>
      <c r="N84" s="171"/>
      <c r="O84" s="14"/>
      <c r="P84" s="14"/>
      <c r="Q84" s="14"/>
      <c r="R84" s="14"/>
      <c r="S84" s="14"/>
      <c r="T84" s="14"/>
      <c r="U84" s="14"/>
    </row>
    <row r="85" spans="1:21" ht="15" customHeight="1">
      <c r="A85" s="2" t="s">
        <v>175</v>
      </c>
      <c r="B85" s="1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71"/>
      <c r="O85" s="14"/>
      <c r="P85" s="14"/>
      <c r="Q85" s="14"/>
      <c r="R85" s="14"/>
      <c r="S85" s="14"/>
      <c r="T85" s="14"/>
      <c r="U85" s="14"/>
    </row>
    <row r="86" spans="1:21" ht="15" customHeight="1">
      <c r="A86" s="1" t="s">
        <v>176</v>
      </c>
      <c r="B86" s="1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71"/>
      <c r="O86" s="14"/>
      <c r="P86" s="14"/>
      <c r="Q86" s="14"/>
      <c r="R86" s="14"/>
      <c r="S86" s="14"/>
      <c r="T86" s="14"/>
      <c r="U86" s="14"/>
    </row>
    <row r="87" spans="1:21" ht="15" customHeight="1">
      <c r="A87" s="1" t="s">
        <v>255</v>
      </c>
      <c r="B87" s="1"/>
      <c r="C87" s="13">
        <v>635000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-635000</v>
      </c>
      <c r="M87" s="13">
        <f t="shared" ref="M87:M90" si="18">SUM(C87:L87)</f>
        <v>0</v>
      </c>
      <c r="N87" s="171"/>
      <c r="O87" s="14"/>
      <c r="P87" s="14"/>
      <c r="Q87" s="14"/>
      <c r="R87" s="14"/>
      <c r="S87" s="14"/>
      <c r="T87" s="14"/>
      <c r="U87" s="14"/>
    </row>
    <row r="88" spans="1:21" ht="15" customHeight="1">
      <c r="A88" s="1" t="s">
        <v>177</v>
      </c>
      <c r="B88" s="1"/>
      <c r="C88" s="13">
        <v>58150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-58150</v>
      </c>
      <c r="M88" s="13">
        <f t="shared" si="18"/>
        <v>0</v>
      </c>
      <c r="N88" s="171"/>
      <c r="O88" s="14"/>
      <c r="P88" s="14"/>
      <c r="Q88" s="14"/>
      <c r="R88" s="14"/>
      <c r="S88" s="14"/>
      <c r="T88" s="14"/>
      <c r="U88" s="14"/>
    </row>
    <row r="89" spans="1:21" ht="15" customHeight="1">
      <c r="A89" s="1" t="s">
        <v>885</v>
      </c>
      <c r="B89" s="1"/>
      <c r="C89" s="13">
        <v>0</v>
      </c>
      <c r="D89" s="13">
        <v>0</v>
      </c>
      <c r="E89" s="13">
        <v>47742.05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-17202.77</v>
      </c>
      <c r="M89" s="13">
        <f t="shared" si="18"/>
        <v>30539.280000000002</v>
      </c>
      <c r="N89" s="171"/>
      <c r="O89" s="14"/>
      <c r="P89" s="14"/>
      <c r="Q89" s="14"/>
      <c r="R89" s="14"/>
      <c r="S89" s="14"/>
      <c r="T89" s="14"/>
      <c r="U89" s="14"/>
    </row>
    <row r="90" spans="1:21" ht="15" customHeight="1">
      <c r="A90" s="1" t="s">
        <v>305</v>
      </c>
      <c r="B90" s="1"/>
      <c r="C90" s="13">
        <v>208910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-208910</v>
      </c>
      <c r="M90" s="13">
        <f t="shared" si="18"/>
        <v>0</v>
      </c>
      <c r="N90" s="171"/>
      <c r="O90" s="14"/>
      <c r="P90" s="14"/>
      <c r="Q90" s="14"/>
      <c r="R90" s="14"/>
      <c r="S90" s="14"/>
      <c r="T90" s="14"/>
      <c r="U90" s="14"/>
    </row>
    <row r="91" spans="1:21" ht="15" customHeight="1">
      <c r="A91" s="1"/>
      <c r="B91" s="1"/>
      <c r="C91" s="79">
        <f>SUM(C87:C90)</f>
        <v>902060</v>
      </c>
      <c r="D91" s="79">
        <f>SUM(D87:D90)</f>
        <v>0</v>
      </c>
      <c r="E91" s="79">
        <f t="shared" ref="E91:M91" si="19">SUM(E87:E90)</f>
        <v>47742.05</v>
      </c>
      <c r="F91" s="79">
        <f t="shared" si="19"/>
        <v>0</v>
      </c>
      <c r="G91" s="79">
        <f t="shared" ref="G91" si="20">SUM(G87:G90)</f>
        <v>0</v>
      </c>
      <c r="H91" s="79">
        <f t="shared" si="19"/>
        <v>0</v>
      </c>
      <c r="I91" s="79">
        <f t="shared" si="19"/>
        <v>0</v>
      </c>
      <c r="J91" s="79">
        <f t="shared" si="19"/>
        <v>0</v>
      </c>
      <c r="K91" s="79">
        <f t="shared" si="19"/>
        <v>0</v>
      </c>
      <c r="L91" s="79">
        <f t="shared" si="19"/>
        <v>-919262.77</v>
      </c>
      <c r="M91" s="79">
        <f t="shared" si="19"/>
        <v>30539.280000000002</v>
      </c>
      <c r="N91" s="171"/>
      <c r="O91" s="14"/>
      <c r="P91" s="14"/>
      <c r="Q91" s="14"/>
      <c r="R91" s="14"/>
      <c r="S91" s="14"/>
      <c r="T91" s="14"/>
      <c r="U91" s="14"/>
    </row>
    <row r="92" spans="1:21" ht="15" customHeight="1">
      <c r="C92" s="14"/>
      <c r="D92" s="14"/>
      <c r="E92" s="14"/>
      <c r="F92" s="14"/>
      <c r="G92" s="14"/>
      <c r="H92" s="14"/>
      <c r="I92" s="14"/>
      <c r="K92" s="14"/>
      <c r="L92" s="14"/>
      <c r="M92" s="14"/>
      <c r="N92" s="171"/>
      <c r="O92" s="14"/>
      <c r="P92" s="14"/>
      <c r="Q92" s="14"/>
      <c r="R92" s="14"/>
      <c r="S92" s="14"/>
      <c r="T92" s="14"/>
      <c r="U92" s="14"/>
    </row>
    <row r="93" spans="1:21" ht="15" customHeight="1">
      <c r="A93" s="2" t="s">
        <v>407</v>
      </c>
      <c r="B93" s="1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71"/>
      <c r="O93" s="14"/>
      <c r="P93" s="14"/>
      <c r="Q93" s="14"/>
      <c r="R93" s="14"/>
      <c r="S93" s="14"/>
      <c r="T93" s="14"/>
      <c r="U93" s="14"/>
    </row>
    <row r="94" spans="1:21" ht="15" customHeight="1">
      <c r="A94" s="1" t="s">
        <v>408</v>
      </c>
      <c r="B94" s="1"/>
      <c r="C94" s="13">
        <v>0</v>
      </c>
      <c r="D94" s="13">
        <v>0</v>
      </c>
      <c r="E94" s="13">
        <v>0</v>
      </c>
      <c r="F94" s="13">
        <v>130436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-126525</v>
      </c>
      <c r="M94" s="13">
        <f t="shared" ref="M94:M96" si="21">SUM(C94:L94)</f>
        <v>3911</v>
      </c>
      <c r="N94" s="171"/>
      <c r="O94" s="14"/>
      <c r="P94" s="14"/>
      <c r="Q94" s="14"/>
      <c r="R94" s="14"/>
      <c r="S94" s="14"/>
      <c r="T94" s="14"/>
      <c r="U94" s="14"/>
    </row>
    <row r="95" spans="1:21" ht="15" customHeight="1">
      <c r="A95" s="1" t="s">
        <v>409</v>
      </c>
      <c r="B95" s="1"/>
      <c r="C95" s="13">
        <v>0</v>
      </c>
      <c r="D95" s="13">
        <v>0</v>
      </c>
      <c r="E95" s="13">
        <v>0</v>
      </c>
      <c r="F95" s="13">
        <v>150521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-150521</v>
      </c>
      <c r="M95" s="13">
        <f t="shared" si="21"/>
        <v>0</v>
      </c>
      <c r="N95" s="171"/>
      <c r="O95" s="14"/>
      <c r="P95" s="14"/>
      <c r="Q95" s="14"/>
      <c r="R95" s="14"/>
      <c r="S95" s="14"/>
      <c r="T95" s="14"/>
      <c r="U95" s="14"/>
    </row>
    <row r="96" spans="1:21" s="14" customFormat="1" ht="15" customHeight="1">
      <c r="A96" s="1" t="s">
        <v>15</v>
      </c>
      <c r="C96" s="13">
        <v>1680</v>
      </c>
      <c r="D96" s="14">
        <v>0</v>
      </c>
      <c r="E96" s="14">
        <v>0</v>
      </c>
      <c r="F96" s="13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3">
        <v>-1661.53</v>
      </c>
      <c r="M96" s="13">
        <f t="shared" si="21"/>
        <v>18.470000000000027</v>
      </c>
      <c r="N96" s="171"/>
    </row>
    <row r="97" spans="1:21" ht="15" customHeight="1">
      <c r="C97" s="80">
        <f>SUM(C94:C96)</f>
        <v>1680</v>
      </c>
      <c r="D97" s="80">
        <f>SUM(D94:D96)</f>
        <v>0</v>
      </c>
      <c r="E97" s="80">
        <f t="shared" ref="E97:M97" si="22">SUM(E94:E96)</f>
        <v>0</v>
      </c>
      <c r="F97" s="80">
        <f t="shared" si="22"/>
        <v>280957</v>
      </c>
      <c r="G97" s="80">
        <f t="shared" ref="G97" si="23">SUM(G94:G96)</f>
        <v>0</v>
      </c>
      <c r="H97" s="80">
        <f t="shared" si="22"/>
        <v>0</v>
      </c>
      <c r="I97" s="80">
        <f t="shared" si="22"/>
        <v>0</v>
      </c>
      <c r="J97" s="80">
        <f t="shared" si="22"/>
        <v>0</v>
      </c>
      <c r="K97" s="80">
        <f t="shared" si="22"/>
        <v>0</v>
      </c>
      <c r="L97" s="80">
        <f t="shared" si="22"/>
        <v>-278707.53000000003</v>
      </c>
      <c r="M97" s="80">
        <f t="shared" si="22"/>
        <v>3929.4700000000003</v>
      </c>
      <c r="N97" s="171"/>
      <c r="O97" s="14"/>
      <c r="P97" s="14"/>
      <c r="Q97" s="14"/>
      <c r="R97" s="14"/>
      <c r="S97" s="14"/>
      <c r="T97" s="14"/>
      <c r="U97" s="14"/>
    </row>
    <row r="98" spans="1:21" ht="15" customHeight="1">
      <c r="C98" s="14"/>
      <c r="D98" s="14"/>
      <c r="E98" s="14"/>
      <c r="F98" s="14"/>
      <c r="G98" s="14"/>
      <c r="H98" s="14"/>
      <c r="I98" s="14"/>
      <c r="K98" s="14"/>
      <c r="L98" s="14"/>
      <c r="M98" s="14"/>
      <c r="N98" s="171"/>
      <c r="O98" s="14"/>
      <c r="P98" s="14"/>
      <c r="Q98" s="14"/>
      <c r="R98" s="14"/>
      <c r="S98" s="14"/>
      <c r="T98" s="14"/>
      <c r="U98" s="14"/>
    </row>
    <row r="99" spans="1:21" ht="15" customHeight="1">
      <c r="A99" s="2" t="s">
        <v>178</v>
      </c>
      <c r="B99" s="1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71"/>
      <c r="O99" s="14"/>
      <c r="P99" s="14"/>
      <c r="Q99" s="14"/>
      <c r="R99" s="14"/>
      <c r="S99" s="14"/>
      <c r="T99" s="14"/>
      <c r="U99" s="14"/>
    </row>
    <row r="100" spans="1:21" ht="15" customHeight="1">
      <c r="A100" s="1" t="s">
        <v>405</v>
      </c>
      <c r="B100" s="1"/>
      <c r="C100" s="13">
        <v>1191219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-1167946.31</v>
      </c>
      <c r="M100" s="13">
        <f t="shared" ref="M100:M106" si="24">SUM(C100:L100)</f>
        <v>23272.689999999944</v>
      </c>
      <c r="N100" s="171"/>
      <c r="O100" s="14"/>
      <c r="P100" s="14"/>
      <c r="Q100" s="14"/>
      <c r="R100" s="14"/>
      <c r="S100" s="14"/>
      <c r="T100" s="14"/>
      <c r="U100" s="14"/>
    </row>
    <row r="101" spans="1:21" ht="15" customHeight="1">
      <c r="A101" s="1" t="s">
        <v>639</v>
      </c>
      <c r="B101" s="1"/>
      <c r="C101" s="13">
        <v>93860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-60804</v>
      </c>
      <c r="M101" s="13">
        <f t="shared" si="24"/>
        <v>33056</v>
      </c>
      <c r="N101" s="171"/>
      <c r="O101" s="14"/>
      <c r="P101" s="14"/>
      <c r="Q101" s="14"/>
      <c r="R101" s="14"/>
      <c r="S101" s="14"/>
      <c r="T101" s="14"/>
      <c r="U101" s="14"/>
    </row>
    <row r="102" spans="1:21" ht="15" customHeight="1">
      <c r="A102" s="1" t="s">
        <v>406</v>
      </c>
      <c r="B102" s="1"/>
      <c r="C102" s="13">
        <v>20000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f t="shared" si="24"/>
        <v>20000</v>
      </c>
      <c r="N102" s="171"/>
      <c r="O102" s="14"/>
      <c r="P102" s="14"/>
      <c r="Q102" s="14"/>
      <c r="R102" s="14"/>
      <c r="S102" s="14"/>
      <c r="T102" s="14"/>
      <c r="U102" s="14"/>
    </row>
    <row r="103" spans="1:21" ht="15" customHeight="1">
      <c r="A103" s="1" t="s">
        <v>258</v>
      </c>
      <c r="B103" s="1"/>
      <c r="C103" s="13">
        <v>1615104.36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f>-5000-229.68</f>
        <v>-5229.68</v>
      </c>
      <c r="L103" s="13">
        <v>-1498601.73</v>
      </c>
      <c r="M103" s="13">
        <f t="shared" si="24"/>
        <v>111272.95000000019</v>
      </c>
      <c r="N103" s="171"/>
      <c r="O103" s="14"/>
      <c r="P103" s="14"/>
      <c r="Q103" s="14"/>
      <c r="R103" s="14"/>
      <c r="S103" s="14"/>
      <c r="T103" s="14"/>
      <c r="U103" s="14"/>
    </row>
    <row r="104" spans="1:21" ht="15" customHeight="1">
      <c r="A104" s="1" t="s">
        <v>259</v>
      </c>
      <c r="B104" s="1"/>
      <c r="C104" s="13">
        <v>1350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-1265.01</v>
      </c>
      <c r="M104" s="13">
        <f t="shared" si="24"/>
        <v>84.990000000000009</v>
      </c>
      <c r="N104" s="171"/>
      <c r="O104" s="14"/>
      <c r="P104" s="14"/>
      <c r="Q104" s="14"/>
      <c r="R104" s="14"/>
      <c r="S104" s="14"/>
      <c r="T104" s="14"/>
      <c r="U104" s="14"/>
    </row>
    <row r="105" spans="1:21" ht="15" customHeight="1">
      <c r="A105" s="1" t="s">
        <v>791</v>
      </c>
      <c r="B105" s="1"/>
      <c r="C105" s="13">
        <v>58900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f>5000+229.68</f>
        <v>5229.68</v>
      </c>
      <c r="L105" s="13">
        <v>-64003.76</v>
      </c>
      <c r="M105" s="13">
        <f t="shared" si="24"/>
        <v>125.91999999999825</v>
      </c>
      <c r="N105" s="171"/>
      <c r="O105" s="14"/>
      <c r="P105" s="14"/>
      <c r="Q105" s="14"/>
      <c r="R105" s="14"/>
      <c r="S105" s="14"/>
      <c r="T105" s="14"/>
      <c r="U105" s="14"/>
    </row>
    <row r="106" spans="1:21" ht="15" customHeight="1">
      <c r="A106" s="1" t="s">
        <v>377</v>
      </c>
      <c r="B106" s="1"/>
      <c r="C106" s="13">
        <v>0</v>
      </c>
      <c r="D106" s="13"/>
      <c r="E106" s="13"/>
      <c r="F106" s="13"/>
      <c r="G106" s="13"/>
      <c r="H106" s="13"/>
      <c r="I106" s="13"/>
      <c r="J106" s="13"/>
      <c r="K106" s="13"/>
      <c r="L106" s="13">
        <v>0</v>
      </c>
      <c r="M106" s="13">
        <f t="shared" si="24"/>
        <v>0</v>
      </c>
      <c r="N106" s="171"/>
      <c r="O106" s="14"/>
      <c r="P106" s="14"/>
      <c r="Q106" s="14"/>
      <c r="R106" s="14"/>
      <c r="S106" s="14"/>
      <c r="T106" s="14"/>
      <c r="U106" s="14"/>
    </row>
    <row r="107" spans="1:21" ht="15" customHeight="1">
      <c r="A107" s="1"/>
      <c r="B107" s="1"/>
      <c r="C107" s="79">
        <f t="shared" ref="C107:M107" si="25">SUM(C100:C106)</f>
        <v>2980433.3600000003</v>
      </c>
      <c r="D107" s="79">
        <f t="shared" si="25"/>
        <v>0</v>
      </c>
      <c r="E107" s="79">
        <f t="shared" si="25"/>
        <v>0</v>
      </c>
      <c r="F107" s="79">
        <f t="shared" si="25"/>
        <v>0</v>
      </c>
      <c r="G107" s="79">
        <f t="shared" ref="G107" si="26">SUM(G100:G106)</f>
        <v>0</v>
      </c>
      <c r="H107" s="79">
        <f t="shared" si="25"/>
        <v>0</v>
      </c>
      <c r="I107" s="79">
        <f t="shared" si="25"/>
        <v>0</v>
      </c>
      <c r="J107" s="79">
        <f t="shared" si="25"/>
        <v>0</v>
      </c>
      <c r="K107" s="79">
        <f t="shared" si="25"/>
        <v>0</v>
      </c>
      <c r="L107" s="79">
        <f t="shared" si="25"/>
        <v>-2792620.8099999996</v>
      </c>
      <c r="M107" s="79">
        <f t="shared" si="25"/>
        <v>187812.5500000001</v>
      </c>
      <c r="N107" s="171"/>
      <c r="O107" s="14"/>
      <c r="P107" s="14"/>
      <c r="Q107" s="14"/>
      <c r="R107" s="14"/>
      <c r="S107" s="14"/>
      <c r="T107" s="14"/>
      <c r="U107" s="14"/>
    </row>
    <row r="108" spans="1:21" ht="15" customHeight="1">
      <c r="A108" s="1"/>
      <c r="B108" s="1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71"/>
      <c r="O108" s="14"/>
      <c r="P108" s="14"/>
      <c r="Q108" s="14"/>
      <c r="R108" s="14"/>
      <c r="S108" s="14"/>
      <c r="T108" s="14"/>
      <c r="U108" s="14"/>
    </row>
    <row r="109" spans="1:21" ht="15" hidden="1" customHeight="1">
      <c r="A109" s="2" t="s">
        <v>225</v>
      </c>
      <c r="B109" s="1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71"/>
      <c r="O109" s="14"/>
      <c r="P109" s="14"/>
      <c r="Q109" s="14"/>
      <c r="R109" s="14"/>
      <c r="S109" s="14"/>
      <c r="T109" s="14"/>
      <c r="U109" s="14"/>
    </row>
    <row r="110" spans="1:21" ht="15" hidden="1" customHeight="1">
      <c r="A110" s="1" t="s">
        <v>318</v>
      </c>
      <c r="B110" s="1"/>
      <c r="C110" s="13">
        <v>0</v>
      </c>
      <c r="D110" s="13"/>
      <c r="E110" s="13"/>
      <c r="F110" s="13"/>
      <c r="G110" s="13"/>
      <c r="H110" s="13"/>
      <c r="I110" s="13"/>
      <c r="J110" s="13"/>
      <c r="K110" s="13"/>
      <c r="L110" s="13">
        <v>0</v>
      </c>
      <c r="M110" s="13">
        <f>SUM(C110:L110)</f>
        <v>0</v>
      </c>
      <c r="N110" s="171"/>
      <c r="O110" s="14"/>
      <c r="P110" s="14"/>
      <c r="Q110" s="14"/>
      <c r="R110" s="14"/>
      <c r="S110" s="14"/>
      <c r="T110" s="14"/>
      <c r="U110" s="14"/>
    </row>
    <row r="111" spans="1:21" ht="15" hidden="1" customHeight="1">
      <c r="C111" s="80">
        <f t="shared" ref="C111:M111" si="27">SUM(C110)</f>
        <v>0</v>
      </c>
      <c r="D111" s="80">
        <f t="shared" si="27"/>
        <v>0</v>
      </c>
      <c r="E111" s="80">
        <f t="shared" si="27"/>
        <v>0</v>
      </c>
      <c r="F111" s="80">
        <f t="shared" si="27"/>
        <v>0</v>
      </c>
      <c r="G111" s="80">
        <f t="shared" ref="G111" si="28">SUM(G110)</f>
        <v>0</v>
      </c>
      <c r="H111" s="80">
        <f t="shared" si="27"/>
        <v>0</v>
      </c>
      <c r="I111" s="80">
        <f t="shared" si="27"/>
        <v>0</v>
      </c>
      <c r="J111" s="80">
        <f t="shared" si="27"/>
        <v>0</v>
      </c>
      <c r="K111" s="80">
        <f t="shared" si="27"/>
        <v>0</v>
      </c>
      <c r="L111" s="80">
        <f t="shared" si="27"/>
        <v>0</v>
      </c>
      <c r="M111" s="80">
        <f t="shared" si="27"/>
        <v>0</v>
      </c>
      <c r="N111" s="171"/>
      <c r="O111" s="14"/>
      <c r="P111" s="14"/>
      <c r="Q111" s="14"/>
      <c r="R111" s="14"/>
      <c r="S111" s="14"/>
      <c r="T111" s="14"/>
      <c r="U111" s="14"/>
    </row>
    <row r="112" spans="1:21" ht="15" hidden="1" customHeight="1">
      <c r="C112" s="14"/>
      <c r="D112" s="14"/>
      <c r="E112" s="14"/>
      <c r="F112" s="14"/>
      <c r="G112" s="14"/>
      <c r="H112" s="14"/>
      <c r="I112" s="14"/>
      <c r="J112" s="14" t="s">
        <v>133</v>
      </c>
      <c r="K112" s="14"/>
      <c r="L112" s="14" t="s">
        <v>133</v>
      </c>
      <c r="M112" s="14" t="s">
        <v>133</v>
      </c>
      <c r="N112" s="171"/>
      <c r="O112" s="14"/>
      <c r="P112" s="14"/>
      <c r="Q112" s="14"/>
      <c r="R112" s="14"/>
      <c r="S112" s="14"/>
      <c r="T112" s="14"/>
      <c r="U112" s="14"/>
    </row>
    <row r="113" spans="1:21" ht="15" customHeight="1">
      <c r="A113" s="2" t="s">
        <v>231</v>
      </c>
      <c r="B113" s="1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71"/>
      <c r="O113" s="14"/>
      <c r="P113" s="14"/>
      <c r="Q113" s="14"/>
      <c r="R113" s="14"/>
      <c r="S113" s="14"/>
      <c r="T113" s="14"/>
      <c r="U113" s="14"/>
    </row>
    <row r="114" spans="1:21" ht="15" customHeight="1">
      <c r="A114" s="1" t="s">
        <v>179</v>
      </c>
      <c r="B114" s="1"/>
      <c r="C114" s="13">
        <v>55078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-51741.48</v>
      </c>
      <c r="M114" s="13">
        <f t="shared" ref="M114:M115" si="29">SUM(C114:L114)</f>
        <v>3336.5199999999968</v>
      </c>
      <c r="N114" s="171"/>
      <c r="O114" s="14"/>
      <c r="P114" s="14"/>
      <c r="Q114" s="14"/>
      <c r="R114" s="14"/>
      <c r="S114" s="14"/>
      <c r="T114" s="14"/>
      <c r="U114" s="14"/>
    </row>
    <row r="115" spans="1:21" s="14" customFormat="1" ht="15" customHeight="1">
      <c r="A115" s="1" t="s">
        <v>616</v>
      </c>
      <c r="C115" s="13">
        <v>138000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3">
        <v>-79462.28</v>
      </c>
      <c r="M115" s="13">
        <f t="shared" si="29"/>
        <v>58537.72</v>
      </c>
      <c r="N115" s="171"/>
    </row>
    <row r="116" spans="1:21" ht="15" customHeight="1">
      <c r="A116" s="1"/>
      <c r="B116" s="1"/>
      <c r="C116" s="79">
        <f t="shared" ref="C116:M116" si="30">SUM(C114:C115)</f>
        <v>193078</v>
      </c>
      <c r="D116" s="79">
        <f t="shared" si="30"/>
        <v>0</v>
      </c>
      <c r="E116" s="79">
        <f t="shared" si="30"/>
        <v>0</v>
      </c>
      <c r="F116" s="79">
        <f t="shared" si="30"/>
        <v>0</v>
      </c>
      <c r="G116" s="79">
        <f t="shared" ref="G116" si="31">SUM(G114:G115)</f>
        <v>0</v>
      </c>
      <c r="H116" s="79">
        <f t="shared" si="30"/>
        <v>0</v>
      </c>
      <c r="I116" s="79">
        <f t="shared" si="30"/>
        <v>0</v>
      </c>
      <c r="J116" s="79">
        <f t="shared" si="30"/>
        <v>0</v>
      </c>
      <c r="K116" s="79">
        <f t="shared" si="30"/>
        <v>0</v>
      </c>
      <c r="L116" s="79">
        <f t="shared" si="30"/>
        <v>-131203.76</v>
      </c>
      <c r="M116" s="79">
        <f t="shared" si="30"/>
        <v>61874.239999999998</v>
      </c>
      <c r="N116" s="171"/>
      <c r="O116" s="14"/>
      <c r="P116" s="14"/>
      <c r="Q116" s="14"/>
      <c r="R116" s="14"/>
      <c r="S116" s="14"/>
      <c r="T116" s="14"/>
      <c r="U116" s="14"/>
    </row>
    <row r="117" spans="1:21" ht="15" customHeight="1">
      <c r="A117" s="1" t="s">
        <v>133</v>
      </c>
      <c r="B117" s="1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71"/>
      <c r="O117" s="14"/>
      <c r="P117" s="14"/>
      <c r="Q117" s="14"/>
      <c r="R117" s="14"/>
      <c r="S117" s="14"/>
      <c r="T117" s="14"/>
      <c r="U117" s="14"/>
    </row>
    <row r="118" spans="1:21" s="87" customFormat="1" ht="15" customHeight="1">
      <c r="A118" s="6" t="s">
        <v>384</v>
      </c>
      <c r="B118" s="1"/>
      <c r="C118" s="13"/>
      <c r="D118" s="13"/>
      <c r="E118" s="13"/>
      <c r="F118" s="13"/>
      <c r="G118" s="13"/>
      <c r="H118" s="13"/>
      <c r="I118" s="13"/>
      <c r="J118" s="13"/>
      <c r="K118" s="13"/>
      <c r="L118" s="72"/>
      <c r="M118" s="13"/>
      <c r="N118" s="205"/>
      <c r="O118" s="85"/>
      <c r="P118" s="85"/>
      <c r="Q118" s="85"/>
      <c r="R118" s="85"/>
      <c r="S118" s="85"/>
      <c r="T118" s="85"/>
      <c r="U118" s="85"/>
    </row>
    <row r="119" spans="1:21" s="153" customFormat="1" ht="15" customHeight="1">
      <c r="A119" s="1" t="s">
        <v>827</v>
      </c>
      <c r="B119" s="152"/>
      <c r="C119" s="13">
        <v>581626.65</v>
      </c>
      <c r="D119" s="13">
        <v>0</v>
      </c>
      <c r="E119" s="13">
        <v>147303.71</v>
      </c>
      <c r="F119" s="13">
        <v>0</v>
      </c>
      <c r="G119" s="85">
        <v>0</v>
      </c>
      <c r="H119" s="85">
        <v>0</v>
      </c>
      <c r="I119" s="85">
        <v>0</v>
      </c>
      <c r="J119" s="13">
        <v>0</v>
      </c>
      <c r="K119" s="85">
        <v>0</v>
      </c>
      <c r="L119" s="13">
        <v>-686274.76</v>
      </c>
      <c r="M119" s="13">
        <f>SUM(C119:L119)</f>
        <v>42655.599999999977</v>
      </c>
      <c r="N119" s="171"/>
      <c r="O119" s="85"/>
      <c r="P119" s="85"/>
      <c r="Q119" s="85"/>
      <c r="R119" s="85"/>
      <c r="S119" s="85"/>
      <c r="T119" s="85"/>
      <c r="U119" s="85"/>
    </row>
    <row r="120" spans="1:21" s="153" customFormat="1" ht="15" customHeight="1">
      <c r="A120" s="1"/>
      <c r="B120" s="152"/>
      <c r="C120" s="78">
        <v>0</v>
      </c>
      <c r="D120" s="78"/>
      <c r="E120" s="78"/>
      <c r="F120" s="78"/>
      <c r="G120" s="178"/>
      <c r="H120" s="178"/>
      <c r="I120" s="178"/>
      <c r="J120" s="178"/>
      <c r="K120" s="178"/>
      <c r="L120" s="83"/>
      <c r="M120" s="78">
        <f>SUM(C120:L120)</f>
        <v>0</v>
      </c>
      <c r="N120" s="171"/>
      <c r="O120" s="85"/>
      <c r="P120" s="85"/>
      <c r="Q120" s="85"/>
      <c r="R120" s="85"/>
      <c r="S120" s="85"/>
      <c r="T120" s="85"/>
      <c r="U120" s="85"/>
    </row>
    <row r="121" spans="1:21" s="153" customFormat="1" ht="15" customHeight="1">
      <c r="A121" s="1"/>
      <c r="B121" s="152"/>
      <c r="C121" s="13">
        <f t="shared" ref="C121:M121" si="32">SUM(C119:C120)</f>
        <v>581626.65</v>
      </c>
      <c r="D121" s="13">
        <f t="shared" si="32"/>
        <v>0</v>
      </c>
      <c r="E121" s="13">
        <f t="shared" si="32"/>
        <v>147303.71</v>
      </c>
      <c r="F121" s="13">
        <f t="shared" si="32"/>
        <v>0</v>
      </c>
      <c r="G121" s="13">
        <f t="shared" si="32"/>
        <v>0</v>
      </c>
      <c r="H121" s="13">
        <f t="shared" si="32"/>
        <v>0</v>
      </c>
      <c r="I121" s="13">
        <f t="shared" si="32"/>
        <v>0</v>
      </c>
      <c r="J121" s="13">
        <f t="shared" si="32"/>
        <v>0</v>
      </c>
      <c r="K121" s="13">
        <f t="shared" si="32"/>
        <v>0</v>
      </c>
      <c r="L121" s="13">
        <f t="shared" si="32"/>
        <v>-686274.76</v>
      </c>
      <c r="M121" s="13">
        <f t="shared" si="32"/>
        <v>42655.599999999977</v>
      </c>
      <c r="N121" s="171"/>
      <c r="O121" s="85"/>
      <c r="P121" s="85"/>
      <c r="Q121" s="85"/>
      <c r="R121" s="85"/>
      <c r="S121" s="85"/>
      <c r="T121" s="85"/>
      <c r="U121" s="85"/>
    </row>
    <row r="122" spans="1:21" s="153" customFormat="1" ht="15" customHeight="1">
      <c r="A122" s="1"/>
      <c r="B122" s="152"/>
      <c r="C122" s="13"/>
      <c r="D122" s="13"/>
      <c r="E122" s="13"/>
      <c r="F122" s="13"/>
      <c r="G122" s="85"/>
      <c r="H122" s="85"/>
      <c r="I122" s="85"/>
      <c r="J122" s="85"/>
      <c r="K122" s="85"/>
      <c r="L122" s="72"/>
      <c r="M122" s="13"/>
      <c r="N122" s="171"/>
      <c r="O122" s="85"/>
      <c r="P122" s="85"/>
      <c r="Q122" s="85"/>
      <c r="R122" s="85"/>
      <c r="S122" s="85"/>
      <c r="T122" s="85"/>
      <c r="U122" s="85"/>
    </row>
    <row r="123" spans="1:21" s="153" customFormat="1" ht="15" customHeight="1">
      <c r="A123" s="6" t="s">
        <v>378</v>
      </c>
      <c r="B123" s="152"/>
      <c r="C123" s="13"/>
      <c r="D123" s="13"/>
      <c r="E123" s="13"/>
      <c r="F123" s="13"/>
      <c r="G123" s="85"/>
      <c r="H123" s="85"/>
      <c r="I123" s="85"/>
      <c r="J123" s="85"/>
      <c r="K123" s="85"/>
      <c r="L123" s="72"/>
      <c r="M123" s="13"/>
      <c r="N123" s="171"/>
      <c r="O123" s="85"/>
      <c r="P123" s="85"/>
      <c r="Q123" s="85"/>
      <c r="R123" s="85"/>
      <c r="S123" s="85"/>
      <c r="T123" s="85"/>
      <c r="U123" s="85"/>
    </row>
    <row r="124" spans="1:21" s="153" customFormat="1" ht="15" customHeight="1">
      <c r="A124" s="1" t="s">
        <v>640</v>
      </c>
      <c r="B124" s="152"/>
      <c r="C124" s="13">
        <v>214000</v>
      </c>
      <c r="D124" s="13">
        <v>0</v>
      </c>
      <c r="E124" s="13">
        <v>144628.89000000001</v>
      </c>
      <c r="F124" s="13">
        <v>0</v>
      </c>
      <c r="G124" s="85">
        <v>0</v>
      </c>
      <c r="H124" s="85">
        <v>0</v>
      </c>
      <c r="I124" s="85">
        <v>0</v>
      </c>
      <c r="J124" s="85">
        <v>0</v>
      </c>
      <c r="K124" s="13">
        <v>0</v>
      </c>
      <c r="L124" s="13">
        <v>-87206.29</v>
      </c>
      <c r="M124" s="13">
        <f>SUM(C124:L124)</f>
        <v>271422.60000000003</v>
      </c>
      <c r="N124" s="171"/>
      <c r="O124" s="85"/>
      <c r="P124" s="85"/>
      <c r="Q124" s="85"/>
      <c r="R124" s="85"/>
      <c r="S124" s="85"/>
      <c r="T124" s="85"/>
      <c r="U124" s="85"/>
    </row>
    <row r="125" spans="1:21" s="153" customFormat="1" ht="15" customHeight="1">
      <c r="A125" s="1"/>
      <c r="B125" s="152"/>
      <c r="C125" s="13">
        <v>0</v>
      </c>
      <c r="D125" s="13"/>
      <c r="E125" s="13">
        <v>0</v>
      </c>
      <c r="F125" s="13"/>
      <c r="G125" s="85"/>
      <c r="H125" s="85"/>
      <c r="I125" s="85"/>
      <c r="J125" s="85"/>
      <c r="K125" s="85"/>
      <c r="L125" s="72">
        <v>0</v>
      </c>
      <c r="M125" s="13">
        <f>SUM(C125:L125)</f>
        <v>0</v>
      </c>
      <c r="N125" s="171"/>
      <c r="O125" s="85"/>
      <c r="P125" s="85"/>
      <c r="Q125" s="85"/>
      <c r="R125" s="85"/>
      <c r="S125" s="85"/>
      <c r="T125" s="85"/>
      <c r="U125" s="85"/>
    </row>
    <row r="126" spans="1:21" s="153" customFormat="1" ht="15" customHeight="1">
      <c r="A126" s="1"/>
      <c r="B126" s="152"/>
      <c r="C126" s="79">
        <f t="shared" ref="C126:M126" si="33">SUM(C124:C125)</f>
        <v>214000</v>
      </c>
      <c r="D126" s="79">
        <f t="shared" si="33"/>
        <v>0</v>
      </c>
      <c r="E126" s="79">
        <f t="shared" si="33"/>
        <v>144628.89000000001</v>
      </c>
      <c r="F126" s="79">
        <f t="shared" si="33"/>
        <v>0</v>
      </c>
      <c r="G126" s="79">
        <f t="shared" si="33"/>
        <v>0</v>
      </c>
      <c r="H126" s="79">
        <f t="shared" si="33"/>
        <v>0</v>
      </c>
      <c r="I126" s="79">
        <f t="shared" si="33"/>
        <v>0</v>
      </c>
      <c r="J126" s="79">
        <f t="shared" si="33"/>
        <v>0</v>
      </c>
      <c r="K126" s="79">
        <f t="shared" si="33"/>
        <v>0</v>
      </c>
      <c r="L126" s="79">
        <f t="shared" si="33"/>
        <v>-87206.29</v>
      </c>
      <c r="M126" s="79">
        <f t="shared" si="33"/>
        <v>271422.60000000003</v>
      </c>
      <c r="N126" s="171"/>
      <c r="O126" s="85"/>
      <c r="P126" s="85"/>
      <c r="Q126" s="85"/>
      <c r="R126" s="85"/>
      <c r="S126" s="85"/>
      <c r="T126" s="85"/>
      <c r="U126" s="85"/>
    </row>
    <row r="127" spans="1:21" s="87" customFormat="1" ht="15" customHeight="1">
      <c r="A127" s="1"/>
      <c r="B127" s="1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171"/>
      <c r="O127" s="85"/>
      <c r="P127" s="85"/>
      <c r="Q127" s="85"/>
      <c r="R127" s="85"/>
      <c r="S127" s="85"/>
      <c r="T127" s="85"/>
      <c r="U127" s="85"/>
    </row>
    <row r="128" spans="1:21" s="87" customFormat="1" ht="15" customHeight="1">
      <c r="A128" s="2" t="s">
        <v>641</v>
      </c>
      <c r="B128" s="1"/>
      <c r="C128" s="72"/>
      <c r="D128" s="72"/>
      <c r="E128" s="72"/>
      <c r="F128" s="72"/>
      <c r="G128" s="72"/>
      <c r="H128" s="72"/>
      <c r="I128" s="72"/>
      <c r="J128" s="13"/>
      <c r="K128" s="13"/>
      <c r="L128" s="13"/>
      <c r="M128" s="13"/>
      <c r="N128" s="205"/>
      <c r="O128" s="85"/>
      <c r="P128" s="85"/>
      <c r="Q128" s="85"/>
      <c r="R128" s="85"/>
      <c r="S128" s="85"/>
      <c r="T128" s="85"/>
      <c r="U128" s="85"/>
    </row>
    <row r="129" spans="1:21" s="87" customFormat="1" ht="15" customHeight="1">
      <c r="A129" s="1" t="s">
        <v>379</v>
      </c>
      <c r="B129" s="1"/>
      <c r="C129" s="72">
        <v>0</v>
      </c>
      <c r="D129" s="72">
        <v>0</v>
      </c>
      <c r="E129" s="72">
        <v>0</v>
      </c>
      <c r="F129" s="13">
        <v>3217.29</v>
      </c>
      <c r="G129" s="72">
        <v>0</v>
      </c>
      <c r="H129" s="72">
        <v>0</v>
      </c>
      <c r="I129" s="72">
        <v>0</v>
      </c>
      <c r="J129" s="13">
        <v>0</v>
      </c>
      <c r="K129" s="13">
        <v>0</v>
      </c>
      <c r="L129" s="13">
        <v>-3217.29</v>
      </c>
      <c r="M129" s="13">
        <f t="shared" ref="M129:M135" si="34">SUM(C129:L129)</f>
        <v>0</v>
      </c>
      <c r="N129" s="205"/>
      <c r="O129" s="85"/>
      <c r="P129" s="85"/>
      <c r="Q129" s="85"/>
      <c r="R129" s="85"/>
      <c r="S129" s="85"/>
      <c r="T129" s="85"/>
      <c r="U129" s="85"/>
    </row>
    <row r="130" spans="1:21" s="87" customFormat="1" ht="15" customHeight="1">
      <c r="A130" s="1" t="s">
        <v>758</v>
      </c>
      <c r="B130" s="1"/>
      <c r="C130" s="72">
        <v>0</v>
      </c>
      <c r="D130" s="72">
        <v>0</v>
      </c>
      <c r="E130" s="72">
        <v>0</v>
      </c>
      <c r="F130" s="72">
        <v>0</v>
      </c>
      <c r="G130" s="72">
        <v>728000</v>
      </c>
      <c r="H130" s="13">
        <v>0</v>
      </c>
      <c r="I130" s="72">
        <v>0</v>
      </c>
      <c r="J130" s="85">
        <v>0</v>
      </c>
      <c r="K130" s="13">
        <v>0</v>
      </c>
      <c r="L130" s="13">
        <v>-728000</v>
      </c>
      <c r="M130" s="13">
        <f t="shared" si="34"/>
        <v>0</v>
      </c>
      <c r="N130" s="205"/>
      <c r="O130" s="85"/>
      <c r="P130" s="85"/>
      <c r="Q130" s="85"/>
      <c r="R130" s="85"/>
      <c r="S130" s="85"/>
      <c r="T130" s="85"/>
      <c r="U130" s="85"/>
    </row>
    <row r="131" spans="1:21" s="87" customFormat="1" ht="15" hidden="1" customHeight="1">
      <c r="A131" s="1" t="s">
        <v>642</v>
      </c>
      <c r="B131" s="1"/>
      <c r="C131" s="72">
        <v>0</v>
      </c>
      <c r="D131" s="72">
        <v>0</v>
      </c>
      <c r="E131" s="72">
        <v>0</v>
      </c>
      <c r="F131" s="72">
        <v>0</v>
      </c>
      <c r="G131" s="13">
        <v>0</v>
      </c>
      <c r="H131" s="72">
        <v>0</v>
      </c>
      <c r="I131" s="72">
        <v>0</v>
      </c>
      <c r="J131" s="85">
        <v>0</v>
      </c>
      <c r="K131" s="13">
        <v>0</v>
      </c>
      <c r="L131" s="13">
        <v>0</v>
      </c>
      <c r="M131" s="13">
        <f t="shared" si="34"/>
        <v>0</v>
      </c>
      <c r="N131" s="205"/>
      <c r="O131" s="85"/>
      <c r="P131" s="85"/>
      <c r="Q131" s="85"/>
      <c r="R131" s="85"/>
      <c r="S131" s="85"/>
      <c r="T131" s="85"/>
      <c r="U131" s="85"/>
    </row>
    <row r="132" spans="1:21" s="87" customFormat="1" ht="15" customHeight="1">
      <c r="A132" s="1" t="s">
        <v>792</v>
      </c>
      <c r="B132" s="1"/>
      <c r="C132" s="13">
        <v>200000</v>
      </c>
      <c r="D132" s="72">
        <v>0</v>
      </c>
      <c r="E132" s="72">
        <v>0</v>
      </c>
      <c r="F132" s="72">
        <v>0</v>
      </c>
      <c r="G132" s="13">
        <v>0</v>
      </c>
      <c r="H132" s="72">
        <v>0</v>
      </c>
      <c r="I132" s="72">
        <v>0</v>
      </c>
      <c r="J132" s="13">
        <v>0</v>
      </c>
      <c r="K132" s="13">
        <v>0</v>
      </c>
      <c r="L132" s="13">
        <v>-200000</v>
      </c>
      <c r="M132" s="13">
        <f t="shared" si="34"/>
        <v>0</v>
      </c>
      <c r="N132" s="205"/>
      <c r="O132" s="85"/>
      <c r="P132" s="85"/>
      <c r="Q132" s="85"/>
      <c r="R132" s="85"/>
      <c r="S132" s="85"/>
      <c r="T132" s="85"/>
      <c r="U132" s="85"/>
    </row>
    <row r="133" spans="1:21" s="87" customFormat="1" ht="15" customHeight="1">
      <c r="A133" s="1" t="s">
        <v>828</v>
      </c>
      <c r="B133" s="1"/>
      <c r="C133" s="72">
        <v>0</v>
      </c>
      <c r="D133" s="72">
        <v>125000</v>
      </c>
      <c r="E133" s="72">
        <v>0</v>
      </c>
      <c r="F133" s="72">
        <v>0</v>
      </c>
      <c r="G133" s="13">
        <v>9731</v>
      </c>
      <c r="H133" s="72">
        <v>0</v>
      </c>
      <c r="I133" s="72">
        <v>0</v>
      </c>
      <c r="J133" s="85">
        <v>0</v>
      </c>
      <c r="K133" s="13">
        <v>0</v>
      </c>
      <c r="L133" s="13">
        <v>-134731</v>
      </c>
      <c r="M133" s="13">
        <f>SUM(C133:L133)</f>
        <v>0</v>
      </c>
      <c r="N133" s="205"/>
      <c r="O133" s="85"/>
      <c r="P133" s="85"/>
      <c r="Q133" s="85"/>
      <c r="R133" s="85"/>
      <c r="S133" s="85"/>
      <c r="T133" s="85"/>
      <c r="U133" s="85"/>
    </row>
    <row r="134" spans="1:21" s="87" customFormat="1" ht="15" customHeight="1">
      <c r="A134" s="1" t="s">
        <v>793</v>
      </c>
      <c r="B134" s="1"/>
      <c r="C134" s="72">
        <v>0</v>
      </c>
      <c r="D134" s="72">
        <v>325000</v>
      </c>
      <c r="E134" s="72">
        <v>0</v>
      </c>
      <c r="F134" s="72">
        <v>0</v>
      </c>
      <c r="G134" s="13">
        <v>260000</v>
      </c>
      <c r="H134" s="72">
        <v>0</v>
      </c>
      <c r="I134" s="72">
        <v>0</v>
      </c>
      <c r="J134" s="85">
        <v>0</v>
      </c>
      <c r="K134" s="13">
        <v>0</v>
      </c>
      <c r="L134" s="13">
        <v>-585000</v>
      </c>
      <c r="M134" s="13">
        <f>SUM(C134:L134)</f>
        <v>0</v>
      </c>
      <c r="N134" s="205"/>
      <c r="O134" s="85"/>
      <c r="P134" s="85"/>
      <c r="Q134" s="85"/>
      <c r="R134" s="85"/>
      <c r="S134" s="85"/>
      <c r="T134" s="85"/>
      <c r="U134" s="85"/>
    </row>
    <row r="135" spans="1:21" s="87" customFormat="1" ht="15" customHeight="1">
      <c r="A135" s="1" t="s">
        <v>380</v>
      </c>
      <c r="B135" s="1"/>
      <c r="C135" s="72">
        <v>0</v>
      </c>
      <c r="D135" s="72">
        <v>0</v>
      </c>
      <c r="E135" s="72">
        <v>0</v>
      </c>
      <c r="F135" s="72">
        <v>0</v>
      </c>
      <c r="G135" s="72">
        <v>0</v>
      </c>
      <c r="H135" s="72">
        <v>0</v>
      </c>
      <c r="I135" s="72">
        <v>0</v>
      </c>
      <c r="J135" s="13">
        <v>0</v>
      </c>
      <c r="K135" s="13">
        <v>0</v>
      </c>
      <c r="L135" s="13">
        <v>0</v>
      </c>
      <c r="M135" s="13">
        <f t="shared" si="34"/>
        <v>0</v>
      </c>
      <c r="N135" s="205"/>
      <c r="O135" s="85"/>
      <c r="P135" s="85"/>
      <c r="Q135" s="85"/>
      <c r="R135" s="85"/>
      <c r="S135" s="85"/>
      <c r="T135" s="85"/>
      <c r="U135" s="85"/>
    </row>
    <row r="136" spans="1:21" ht="15" customHeight="1">
      <c r="A136" s="1" t="s">
        <v>145</v>
      </c>
      <c r="C136" s="80">
        <f t="shared" ref="C136:M136" si="35">SUM(C129:C135)</f>
        <v>200000</v>
      </c>
      <c r="D136" s="80">
        <f t="shared" si="35"/>
        <v>450000</v>
      </c>
      <c r="E136" s="80">
        <f t="shared" si="35"/>
        <v>0</v>
      </c>
      <c r="F136" s="80">
        <f t="shared" si="35"/>
        <v>3217.29</v>
      </c>
      <c r="G136" s="80">
        <f t="shared" si="35"/>
        <v>997731</v>
      </c>
      <c r="H136" s="80">
        <f t="shared" si="35"/>
        <v>0</v>
      </c>
      <c r="I136" s="80">
        <f t="shared" si="35"/>
        <v>0</v>
      </c>
      <c r="J136" s="80">
        <f t="shared" si="35"/>
        <v>0</v>
      </c>
      <c r="K136" s="80">
        <f t="shared" si="35"/>
        <v>0</v>
      </c>
      <c r="L136" s="80">
        <f t="shared" si="35"/>
        <v>-1650948.29</v>
      </c>
      <c r="M136" s="80">
        <f t="shared" si="35"/>
        <v>0</v>
      </c>
      <c r="N136" s="171"/>
      <c r="O136" s="14"/>
      <c r="P136" s="14"/>
      <c r="Q136" s="14"/>
      <c r="R136" s="14"/>
      <c r="S136" s="14"/>
      <c r="T136" s="14"/>
      <c r="U136" s="14"/>
    </row>
    <row r="137" spans="1:21" s="87" customFormat="1" ht="15" customHeight="1">
      <c r="A137" s="1"/>
      <c r="B137" s="1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205"/>
      <c r="O137" s="85"/>
      <c r="P137" s="85"/>
      <c r="Q137" s="85"/>
      <c r="R137" s="85"/>
      <c r="S137" s="85"/>
      <c r="T137" s="85"/>
      <c r="U137" s="85"/>
    </row>
    <row r="138" spans="1:21" ht="15" customHeight="1">
      <c r="A138" s="1"/>
      <c r="B138" s="1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71"/>
      <c r="O138" s="14"/>
      <c r="P138" s="14"/>
      <c r="Q138" s="14"/>
      <c r="R138" s="14"/>
      <c r="S138" s="14"/>
      <c r="T138" s="14"/>
      <c r="U138" s="14"/>
    </row>
    <row r="139" spans="1:21" ht="15" customHeight="1" thickBot="1">
      <c r="A139" s="1" t="s">
        <v>882</v>
      </c>
      <c r="B139" s="1"/>
      <c r="C139" s="81">
        <f t="shared" ref="C139:M139" si="36">C136+C126+C121+C116+C111+C107+C97+C91+C83+C74+C67+C56+C49+C34</f>
        <v>25862947.930000003</v>
      </c>
      <c r="D139" s="81">
        <f t="shared" si="36"/>
        <v>583665</v>
      </c>
      <c r="E139" s="81">
        <f t="shared" si="36"/>
        <v>468919.72999999992</v>
      </c>
      <c r="F139" s="81">
        <f t="shared" si="36"/>
        <v>273674.28999999998</v>
      </c>
      <c r="G139" s="81">
        <f t="shared" si="36"/>
        <v>1032564</v>
      </c>
      <c r="H139" s="81">
        <f t="shared" si="36"/>
        <v>9500</v>
      </c>
      <c r="I139" s="81">
        <f t="shared" si="36"/>
        <v>100000</v>
      </c>
      <c r="J139" s="81">
        <f t="shared" si="36"/>
        <v>0</v>
      </c>
      <c r="K139" s="81">
        <f t="shared" si="36"/>
        <v>0</v>
      </c>
      <c r="L139" s="81">
        <f t="shared" si="36"/>
        <v>-26870453.75</v>
      </c>
      <c r="M139" s="81">
        <f t="shared" si="36"/>
        <v>1460817.2000000002</v>
      </c>
      <c r="N139" s="171"/>
      <c r="O139" s="14"/>
      <c r="P139" s="14"/>
      <c r="Q139" s="14"/>
      <c r="R139" s="14"/>
      <c r="S139" s="14"/>
      <c r="T139" s="14"/>
      <c r="U139" s="14"/>
    </row>
    <row r="140" spans="1:21" ht="15" customHeight="1" thickTop="1">
      <c r="A140" s="1"/>
      <c r="B140" s="1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71"/>
      <c r="O140" s="14"/>
      <c r="P140" s="14"/>
      <c r="Q140" s="14"/>
      <c r="R140" s="14"/>
      <c r="S140" s="14"/>
      <c r="T140" s="14"/>
      <c r="U140" s="14"/>
    </row>
    <row r="141" spans="1:21" ht="15" customHeight="1">
      <c r="A141" s="1"/>
      <c r="B141" s="1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216"/>
      <c r="O141" s="93"/>
      <c r="P141" s="93"/>
      <c r="Q141" s="93"/>
      <c r="R141" s="93"/>
      <c r="S141" s="93"/>
      <c r="T141" s="93"/>
      <c r="U141" s="93"/>
    </row>
  </sheetData>
  <mergeCells count="2">
    <mergeCell ref="A1:M1"/>
    <mergeCell ref="A3:M3"/>
  </mergeCells>
  <phoneticPr fontId="0" type="noConversion"/>
  <pageMargins left="0.75" right="0.75" top="1" bottom="1" header="0.5" footer="0.5"/>
  <pageSetup scale="50" fitToHeight="0" orientation="landscape" r:id="rId1"/>
  <headerFooter alignWithMargins="0"/>
  <rowBreaks count="2" manualBreakCount="2">
    <brk id="57" max="10" man="1"/>
    <brk id="108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FFFF00"/>
    <pageSetUpPr fitToPage="1"/>
  </sheetPr>
  <dimension ref="A1:L85"/>
  <sheetViews>
    <sheetView topLeftCell="A53" zoomScaleNormal="100" workbookViewId="0">
      <selection activeCell="F25" sqref="F25"/>
    </sheetView>
  </sheetViews>
  <sheetFormatPr defaultColWidth="8.88671875" defaultRowHeight="15" customHeight="1"/>
  <cols>
    <col min="1" max="1" width="15.5546875" style="127" customWidth="1"/>
    <col min="2" max="2" width="6" style="127" customWidth="1"/>
    <col min="3" max="4" width="15.77734375" style="127" customWidth="1"/>
    <col min="5" max="7" width="16.88671875" style="127" customWidth="1"/>
    <col min="8" max="8" width="13.88671875" style="127" customWidth="1"/>
    <col min="9" max="9" width="8.88671875" style="127"/>
    <col min="10" max="10" width="15.77734375" style="127" customWidth="1"/>
    <col min="11" max="11" width="14.44140625" style="127" customWidth="1"/>
    <col min="12" max="12" width="13.33203125" style="127" customWidth="1"/>
    <col min="13" max="14" width="8.88671875" style="127"/>
    <col min="15" max="15" width="14.44140625" style="127" customWidth="1"/>
    <col min="16" max="16384" width="8.88671875" style="127"/>
  </cols>
  <sheetData>
    <row r="1" spans="1:11" ht="15" customHeight="1">
      <c r="A1" s="125"/>
      <c r="B1" s="125"/>
      <c r="C1" s="125"/>
      <c r="D1" s="126" t="s">
        <v>45</v>
      </c>
      <c r="E1" s="125"/>
      <c r="F1" s="125"/>
      <c r="G1" s="125"/>
    </row>
    <row r="3" spans="1:11" ht="15" customHeight="1">
      <c r="A3" s="125"/>
      <c r="B3" s="125"/>
      <c r="C3" s="125"/>
      <c r="D3" s="126" t="s">
        <v>834</v>
      </c>
      <c r="E3" s="125"/>
      <c r="F3" s="125"/>
      <c r="G3" s="125"/>
    </row>
    <row r="5" spans="1:11" ht="15" customHeight="1">
      <c r="A5" s="125"/>
      <c r="B5" s="125"/>
      <c r="C5" s="125"/>
      <c r="D5" s="126" t="s">
        <v>722</v>
      </c>
      <c r="E5" s="125"/>
      <c r="F5" s="125"/>
      <c r="G5" s="125"/>
    </row>
    <row r="6" spans="1:11" ht="15" customHeight="1">
      <c r="A6" s="125"/>
      <c r="B6" s="125"/>
      <c r="C6" s="125"/>
      <c r="D6" s="126"/>
      <c r="E6" s="125"/>
      <c r="F6" s="125"/>
      <c r="G6" s="128" t="s">
        <v>618</v>
      </c>
    </row>
    <row r="7" spans="1:11" ht="15" customHeight="1">
      <c r="G7" s="227" t="s">
        <v>619</v>
      </c>
    </row>
    <row r="8" spans="1:11" ht="15" customHeight="1">
      <c r="A8" s="125"/>
      <c r="B8" s="125"/>
      <c r="C8" s="125"/>
      <c r="D8" s="125"/>
      <c r="E8" s="128" t="s">
        <v>181</v>
      </c>
      <c r="F8" s="128" t="s">
        <v>182</v>
      </c>
      <c r="G8" s="128" t="s">
        <v>183</v>
      </c>
    </row>
    <row r="9" spans="1:11" ht="15" customHeight="1">
      <c r="A9" s="129" t="s">
        <v>198</v>
      </c>
      <c r="B9" s="125"/>
      <c r="C9" s="125"/>
      <c r="D9" s="125"/>
      <c r="E9" s="125"/>
      <c r="F9" s="125"/>
      <c r="G9" s="125"/>
    </row>
    <row r="10" spans="1:11" ht="15" customHeight="1">
      <c r="A10" s="125" t="s">
        <v>199</v>
      </c>
      <c r="B10" s="125"/>
      <c r="C10" s="130" t="s">
        <v>613</v>
      </c>
      <c r="E10" s="131">
        <v>798183.27</v>
      </c>
      <c r="F10" s="131">
        <v>767989.89</v>
      </c>
      <c r="G10" s="131">
        <f t="shared" ref="G10:G47" si="0">E10-F10</f>
        <v>30193.380000000005</v>
      </c>
      <c r="H10" s="207"/>
      <c r="I10" s="208"/>
      <c r="J10" s="137"/>
      <c r="K10" s="137"/>
    </row>
    <row r="11" spans="1:11" ht="15" customHeight="1">
      <c r="A11" s="125"/>
      <c r="B11" s="125"/>
      <c r="C11" s="130" t="s">
        <v>724</v>
      </c>
      <c r="E11" s="131">
        <v>924.1</v>
      </c>
      <c r="F11" s="131">
        <v>0</v>
      </c>
      <c r="G11" s="131">
        <f t="shared" si="0"/>
        <v>924.1</v>
      </c>
      <c r="H11" s="207"/>
      <c r="I11" s="208"/>
      <c r="J11" s="137"/>
      <c r="K11" s="137"/>
    </row>
    <row r="12" spans="1:11" ht="15" customHeight="1">
      <c r="A12" s="125"/>
      <c r="B12" s="125"/>
      <c r="C12" s="130" t="s">
        <v>614</v>
      </c>
      <c r="E12" s="131">
        <v>705730.74</v>
      </c>
      <c r="F12" s="131">
        <v>520451.38</v>
      </c>
      <c r="G12" s="131">
        <f t="shared" si="0"/>
        <v>185279.35999999999</v>
      </c>
      <c r="H12" s="207"/>
      <c r="I12" s="208"/>
      <c r="J12" s="137"/>
      <c r="K12" s="137"/>
    </row>
    <row r="13" spans="1:11" ht="15" customHeight="1">
      <c r="A13" s="125"/>
      <c r="B13" s="125"/>
      <c r="C13" s="130" t="s">
        <v>615</v>
      </c>
      <c r="E13" s="131">
        <f>132250.18+9944.41</f>
        <v>142194.59</v>
      </c>
      <c r="F13" s="131">
        <f>57128.75+1642.5</f>
        <v>58771.25</v>
      </c>
      <c r="G13" s="131">
        <f t="shared" si="0"/>
        <v>83423.34</v>
      </c>
      <c r="H13" s="207"/>
      <c r="I13" s="208"/>
      <c r="J13" s="137"/>
      <c r="K13" s="137"/>
    </row>
    <row r="14" spans="1:11" ht="15" customHeight="1">
      <c r="A14" s="125"/>
      <c r="B14" s="125"/>
      <c r="C14" s="130" t="s">
        <v>723</v>
      </c>
      <c r="E14" s="131">
        <v>12524.5</v>
      </c>
      <c r="F14" s="131">
        <v>1645.5</v>
      </c>
      <c r="G14" s="131">
        <f t="shared" si="0"/>
        <v>10879</v>
      </c>
      <c r="H14" s="207"/>
      <c r="I14" s="208"/>
      <c r="J14" s="137"/>
      <c r="K14" s="137"/>
    </row>
    <row r="15" spans="1:11" ht="15" customHeight="1">
      <c r="A15" s="125"/>
      <c r="B15" s="125"/>
      <c r="C15" s="130"/>
      <c r="E15" s="131"/>
      <c r="F15" s="131"/>
      <c r="G15" s="131"/>
      <c r="H15" s="207"/>
      <c r="I15" s="208"/>
      <c r="J15" s="137"/>
      <c r="K15" s="137"/>
    </row>
    <row r="16" spans="1:11" ht="15" customHeight="1">
      <c r="A16" s="125" t="s">
        <v>200</v>
      </c>
      <c r="B16" s="125"/>
      <c r="C16" s="240" t="s">
        <v>613</v>
      </c>
      <c r="D16" s="241"/>
      <c r="E16" s="131">
        <v>3181711.43</v>
      </c>
      <c r="F16" s="131">
        <v>2895852.29</v>
      </c>
      <c r="G16" s="131">
        <f t="shared" si="0"/>
        <v>285859.14000000013</v>
      </c>
      <c r="H16" s="207"/>
      <c r="I16" s="137"/>
      <c r="J16" s="137"/>
      <c r="K16" s="137"/>
    </row>
    <row r="17" spans="1:12" ht="15" customHeight="1">
      <c r="A17" s="125"/>
      <c r="B17" s="125"/>
      <c r="C17" s="125" t="s">
        <v>724</v>
      </c>
      <c r="D17" s="130"/>
      <c r="E17" s="131">
        <v>392259.44</v>
      </c>
      <c r="F17" s="131">
        <v>339136.73</v>
      </c>
      <c r="G17" s="133">
        <f t="shared" si="0"/>
        <v>53122.710000000021</v>
      </c>
      <c r="H17" s="207"/>
      <c r="I17" s="137"/>
      <c r="J17" s="137"/>
      <c r="K17" s="137"/>
    </row>
    <row r="18" spans="1:12" ht="15" customHeight="1">
      <c r="A18" s="125"/>
      <c r="B18" s="125"/>
      <c r="C18" s="125" t="s">
        <v>614</v>
      </c>
      <c r="D18" s="130"/>
      <c r="E18" s="131">
        <v>337756</v>
      </c>
      <c r="F18" s="131">
        <v>302917.56</v>
      </c>
      <c r="G18" s="133">
        <f t="shared" si="0"/>
        <v>34838.44</v>
      </c>
      <c r="H18" s="207"/>
      <c r="I18" s="137"/>
      <c r="J18" s="137"/>
      <c r="K18" s="137"/>
    </row>
    <row r="19" spans="1:12" ht="15" customHeight="1">
      <c r="A19" s="125"/>
      <c r="B19" s="125"/>
      <c r="C19" s="125" t="s">
        <v>615</v>
      </c>
      <c r="D19" s="130"/>
      <c r="E19" s="131">
        <v>16709.400000000001</v>
      </c>
      <c r="F19" s="131">
        <v>809.4</v>
      </c>
      <c r="G19" s="133">
        <f t="shared" si="0"/>
        <v>15900.000000000002</v>
      </c>
      <c r="H19" s="207"/>
      <c r="I19" s="137"/>
      <c r="J19" s="137"/>
      <c r="K19" s="137"/>
    </row>
    <row r="20" spans="1:12" ht="15" customHeight="1">
      <c r="A20" s="125"/>
      <c r="B20" s="125"/>
      <c r="C20" s="125" t="s">
        <v>723</v>
      </c>
      <c r="D20" s="130"/>
      <c r="E20" s="131">
        <v>3689.23</v>
      </c>
      <c r="F20" s="131">
        <v>3478.23</v>
      </c>
      <c r="G20" s="133">
        <f t="shared" si="0"/>
        <v>211</v>
      </c>
      <c r="H20" s="207"/>
      <c r="I20" s="137"/>
      <c r="J20" s="137"/>
      <c r="K20" s="137"/>
    </row>
    <row r="21" spans="1:12" ht="15" customHeight="1">
      <c r="A21" s="125"/>
      <c r="B21" s="125"/>
      <c r="C21" s="125"/>
      <c r="D21" s="130"/>
      <c r="E21" s="131"/>
      <c r="F21" s="131"/>
      <c r="G21" s="133"/>
      <c r="H21" s="207"/>
      <c r="I21" s="137"/>
      <c r="J21" s="137"/>
      <c r="K21" s="137"/>
    </row>
    <row r="22" spans="1:12" ht="15" customHeight="1">
      <c r="A22" s="125" t="s">
        <v>201</v>
      </c>
      <c r="B22" s="125"/>
      <c r="C22" s="125" t="s">
        <v>613</v>
      </c>
      <c r="D22" s="130"/>
      <c r="E22" s="131">
        <v>4424</v>
      </c>
      <c r="F22" s="131">
        <v>4424</v>
      </c>
      <c r="G22" s="133">
        <f t="shared" si="0"/>
        <v>0</v>
      </c>
      <c r="H22" s="207"/>
      <c r="I22" s="137"/>
      <c r="J22" s="137"/>
      <c r="K22" s="137"/>
    </row>
    <row r="23" spans="1:12" ht="15" customHeight="1">
      <c r="A23" s="125"/>
      <c r="B23" s="125"/>
      <c r="C23" s="125" t="s">
        <v>614</v>
      </c>
      <c r="D23" s="130"/>
      <c r="E23" s="131">
        <v>13471143.460000001</v>
      </c>
      <c r="F23" s="131">
        <v>13448521.460000001</v>
      </c>
      <c r="G23" s="133">
        <f t="shared" si="0"/>
        <v>22622</v>
      </c>
      <c r="H23" s="207"/>
      <c r="I23" s="137"/>
      <c r="J23" s="137"/>
      <c r="K23" s="137"/>
    </row>
    <row r="24" spans="1:12" ht="15" hidden="1" customHeight="1">
      <c r="A24" s="125"/>
      <c r="B24" s="125"/>
      <c r="C24" s="125" t="s">
        <v>615</v>
      </c>
      <c r="D24" s="130"/>
      <c r="E24" s="131">
        <v>0</v>
      </c>
      <c r="F24" s="131">
        <v>0</v>
      </c>
      <c r="G24" s="133">
        <f t="shared" si="0"/>
        <v>0</v>
      </c>
      <c r="H24" s="207"/>
      <c r="I24" s="137"/>
      <c r="J24" s="137"/>
      <c r="K24" s="137"/>
    </row>
    <row r="25" spans="1:12" ht="15" customHeight="1">
      <c r="A25" s="125"/>
      <c r="B25" s="125"/>
      <c r="C25" s="125"/>
      <c r="D25" s="130"/>
      <c r="E25" s="131"/>
      <c r="F25" s="131"/>
      <c r="G25" s="133"/>
      <c r="H25" s="207"/>
      <c r="I25" s="137"/>
      <c r="J25" s="137"/>
      <c r="K25" s="137"/>
    </row>
    <row r="26" spans="1:12" ht="15" customHeight="1">
      <c r="A26" s="125" t="s">
        <v>43</v>
      </c>
      <c r="B26" s="125"/>
      <c r="C26" s="125" t="s">
        <v>613</v>
      </c>
      <c r="D26" s="130"/>
      <c r="E26" s="131">
        <v>460053.52</v>
      </c>
      <c r="F26" s="131">
        <v>419630.77</v>
      </c>
      <c r="G26" s="133">
        <f t="shared" si="0"/>
        <v>40422.75</v>
      </c>
      <c r="H26" s="209"/>
      <c r="I26" s="210"/>
      <c r="J26" s="210"/>
      <c r="K26" s="210"/>
      <c r="L26" s="134"/>
    </row>
    <row r="27" spans="1:12" ht="15" customHeight="1">
      <c r="A27" s="125"/>
      <c r="B27" s="125"/>
      <c r="C27" s="125" t="s">
        <v>724</v>
      </c>
      <c r="D27" s="130"/>
      <c r="E27" s="131">
        <v>29134.080000000002</v>
      </c>
      <c r="F27" s="131">
        <v>13479.33</v>
      </c>
      <c r="G27" s="133">
        <f t="shared" si="0"/>
        <v>15654.750000000002</v>
      </c>
      <c r="H27" s="209"/>
      <c r="I27" s="210"/>
      <c r="J27" s="210"/>
      <c r="K27" s="210"/>
      <c r="L27" s="134"/>
    </row>
    <row r="28" spans="1:12" ht="15" customHeight="1">
      <c r="A28" s="125"/>
      <c r="B28" s="125"/>
      <c r="C28" s="125" t="s">
        <v>614</v>
      </c>
      <c r="D28" s="130"/>
      <c r="E28" s="131">
        <v>925857</v>
      </c>
      <c r="F28" s="131">
        <v>961202.36</v>
      </c>
      <c r="G28" s="133">
        <f t="shared" si="0"/>
        <v>-35345.359999999986</v>
      </c>
      <c r="H28" s="209"/>
      <c r="I28" s="210"/>
      <c r="J28" s="210"/>
      <c r="K28" s="210"/>
      <c r="L28" s="134"/>
    </row>
    <row r="29" spans="1:12" ht="15" customHeight="1">
      <c r="A29" s="125"/>
      <c r="B29" s="125"/>
      <c r="C29" s="125" t="s">
        <v>615</v>
      </c>
      <c r="D29" s="130"/>
      <c r="E29" s="131">
        <v>57598.83</v>
      </c>
      <c r="F29" s="131">
        <v>50076.63</v>
      </c>
      <c r="G29" s="133">
        <f t="shared" si="0"/>
        <v>7522.2000000000044</v>
      </c>
      <c r="H29" s="209"/>
      <c r="I29" s="210"/>
      <c r="J29" s="210"/>
      <c r="K29" s="210"/>
      <c r="L29" s="134"/>
    </row>
    <row r="30" spans="1:12" ht="15" customHeight="1">
      <c r="A30" s="125"/>
      <c r="B30" s="125"/>
      <c r="C30" s="125" t="s">
        <v>723</v>
      </c>
      <c r="D30" s="130"/>
      <c r="E30" s="131">
        <v>36.299999999999997</v>
      </c>
      <c r="F30" s="131">
        <v>21.9</v>
      </c>
      <c r="G30" s="133">
        <f t="shared" ref="G30" si="1">E30-F30</f>
        <v>14.399999999999999</v>
      </c>
      <c r="H30" s="209"/>
      <c r="I30" s="210"/>
      <c r="J30" s="210"/>
      <c r="K30" s="210"/>
      <c r="L30" s="134"/>
    </row>
    <row r="31" spans="1:12" ht="15" customHeight="1">
      <c r="A31" s="125"/>
      <c r="B31" s="125"/>
      <c r="C31" s="125"/>
      <c r="D31" s="130"/>
      <c r="E31" s="131"/>
      <c r="F31" s="131"/>
      <c r="G31" s="133"/>
      <c r="H31" s="209"/>
      <c r="I31" s="210"/>
      <c r="J31" s="210"/>
      <c r="K31" s="210"/>
      <c r="L31" s="134"/>
    </row>
    <row r="32" spans="1:12" ht="15" customHeight="1">
      <c r="A32" s="125" t="s">
        <v>202</v>
      </c>
      <c r="B32" s="125"/>
      <c r="C32" s="125" t="s">
        <v>613</v>
      </c>
      <c r="D32" s="130"/>
      <c r="E32" s="131">
        <v>255872.88</v>
      </c>
      <c r="F32" s="131">
        <v>241553.79</v>
      </c>
      <c r="G32" s="133">
        <f t="shared" si="0"/>
        <v>14319.089999999997</v>
      </c>
      <c r="H32" s="207"/>
      <c r="I32" s="137"/>
      <c r="J32" s="137"/>
      <c r="K32" s="137"/>
    </row>
    <row r="33" spans="1:11" ht="15" customHeight="1">
      <c r="A33" s="125"/>
      <c r="B33" s="125"/>
      <c r="C33" s="125" t="s">
        <v>614</v>
      </c>
      <c r="D33" s="130"/>
      <c r="E33" s="131">
        <v>198779</v>
      </c>
      <c r="F33" s="131">
        <v>142121.39000000001</v>
      </c>
      <c r="G33" s="133">
        <f t="shared" si="0"/>
        <v>56657.609999999986</v>
      </c>
      <c r="H33" s="207"/>
      <c r="I33" s="137"/>
      <c r="J33" s="137"/>
      <c r="K33" s="137"/>
    </row>
    <row r="34" spans="1:11" ht="15" hidden="1" customHeight="1">
      <c r="A34" s="125"/>
      <c r="B34" s="125"/>
      <c r="C34" s="125" t="s">
        <v>723</v>
      </c>
      <c r="D34" s="130"/>
      <c r="E34" s="131">
        <v>0</v>
      </c>
      <c r="F34" s="131">
        <v>0</v>
      </c>
      <c r="G34" s="133">
        <f t="shared" si="0"/>
        <v>0</v>
      </c>
      <c r="H34" s="207"/>
      <c r="I34" s="137"/>
      <c r="J34" s="137"/>
      <c r="K34" s="137"/>
    </row>
    <row r="35" spans="1:11" ht="15" customHeight="1">
      <c r="A35" s="125"/>
      <c r="B35" s="125"/>
      <c r="C35" s="125"/>
      <c r="D35" s="130"/>
      <c r="E35" s="131"/>
      <c r="F35" s="131"/>
      <c r="G35" s="133"/>
      <c r="H35" s="207"/>
      <c r="I35" s="137"/>
      <c r="J35" s="137"/>
      <c r="K35" s="137"/>
    </row>
    <row r="36" spans="1:11" ht="15" customHeight="1">
      <c r="A36" s="125" t="s">
        <v>203</v>
      </c>
      <c r="B36" s="125"/>
      <c r="C36" s="125" t="s">
        <v>613</v>
      </c>
      <c r="D36" s="130"/>
      <c r="E36" s="131">
        <v>109387</v>
      </c>
      <c r="F36" s="131">
        <v>93630.68</v>
      </c>
      <c r="G36" s="133">
        <f t="shared" si="0"/>
        <v>15756.320000000007</v>
      </c>
      <c r="H36" s="207"/>
      <c r="I36" s="137"/>
      <c r="J36" s="137"/>
      <c r="K36" s="137"/>
    </row>
    <row r="37" spans="1:11" ht="15" hidden="1" customHeight="1">
      <c r="A37" s="125"/>
      <c r="B37" s="125"/>
      <c r="C37" s="125" t="s">
        <v>724</v>
      </c>
      <c r="D37" s="130"/>
      <c r="E37" s="131">
        <v>0</v>
      </c>
      <c r="F37" s="131">
        <v>0</v>
      </c>
      <c r="G37" s="133">
        <f t="shared" si="0"/>
        <v>0</v>
      </c>
      <c r="H37" s="207"/>
      <c r="I37" s="137"/>
      <c r="J37" s="137"/>
      <c r="K37" s="137"/>
    </row>
    <row r="38" spans="1:11" ht="15" customHeight="1">
      <c r="A38" s="125"/>
      <c r="B38" s="125"/>
      <c r="C38" s="125" t="s">
        <v>614</v>
      </c>
      <c r="D38" s="130"/>
      <c r="E38" s="131">
        <v>41502</v>
      </c>
      <c r="F38" s="131">
        <v>36967.120000000003</v>
      </c>
      <c r="G38" s="133">
        <f t="shared" si="0"/>
        <v>4534.8799999999974</v>
      </c>
      <c r="H38" s="207"/>
      <c r="I38" s="137"/>
      <c r="J38" s="137"/>
      <c r="K38" s="137"/>
    </row>
    <row r="39" spans="1:11" ht="15" customHeight="1">
      <c r="A39" s="125"/>
      <c r="B39" s="125"/>
      <c r="C39" s="125" t="s">
        <v>615</v>
      </c>
      <c r="D39" s="130"/>
      <c r="E39" s="131">
        <v>41342.230000000003</v>
      </c>
      <c r="F39" s="131">
        <v>21547.88</v>
      </c>
      <c r="G39" s="133">
        <f t="shared" si="0"/>
        <v>19794.350000000002</v>
      </c>
      <c r="H39" s="207"/>
      <c r="I39" s="137"/>
      <c r="J39" s="137"/>
      <c r="K39" s="137"/>
    </row>
    <row r="40" spans="1:11" ht="15" hidden="1" customHeight="1">
      <c r="A40" s="125"/>
      <c r="B40" s="125"/>
      <c r="C40" s="125" t="s">
        <v>723</v>
      </c>
      <c r="D40" s="130"/>
      <c r="E40" s="131">
        <v>0</v>
      </c>
      <c r="F40" s="131">
        <v>0</v>
      </c>
      <c r="G40" s="133">
        <f t="shared" si="0"/>
        <v>0</v>
      </c>
      <c r="H40" s="207"/>
      <c r="I40" s="137"/>
      <c r="J40" s="137"/>
      <c r="K40" s="137"/>
    </row>
    <row r="41" spans="1:11" ht="15" customHeight="1">
      <c r="A41" s="125"/>
      <c r="B41" s="125"/>
      <c r="C41" s="125"/>
      <c r="D41" s="130"/>
      <c r="E41" s="131"/>
      <c r="F41" s="131"/>
      <c r="G41" s="133"/>
      <c r="H41" s="207"/>
      <c r="I41" s="137"/>
      <c r="J41" s="137"/>
      <c r="K41" s="137"/>
    </row>
    <row r="42" spans="1:11" ht="15" customHeight="1">
      <c r="A42" s="125" t="s">
        <v>204</v>
      </c>
      <c r="B42" s="125"/>
      <c r="C42" s="125"/>
      <c r="D42" s="130"/>
      <c r="E42" s="131">
        <v>949802.05</v>
      </c>
      <c r="F42" s="131">
        <v>919262.77</v>
      </c>
      <c r="G42" s="133">
        <f t="shared" si="0"/>
        <v>30539.280000000028</v>
      </c>
      <c r="H42" s="207"/>
      <c r="I42" s="137"/>
      <c r="J42" s="137"/>
      <c r="K42" s="137"/>
    </row>
    <row r="43" spans="1:11" ht="15" customHeight="1">
      <c r="A43" s="125"/>
      <c r="B43" s="125"/>
      <c r="C43" s="125"/>
      <c r="D43" s="130"/>
      <c r="E43" s="131"/>
      <c r="F43" s="131"/>
      <c r="G43" s="133"/>
      <c r="H43" s="207"/>
      <c r="I43" s="137"/>
      <c r="J43" s="137"/>
      <c r="K43" s="137"/>
    </row>
    <row r="44" spans="1:11" ht="15" customHeight="1">
      <c r="A44" s="125" t="s">
        <v>725</v>
      </c>
      <c r="B44" s="125"/>
      <c r="C44" s="125"/>
      <c r="D44" s="125"/>
      <c r="E44" s="131">
        <v>282637</v>
      </c>
      <c r="F44" s="133">
        <v>278707.53000000003</v>
      </c>
      <c r="G44" s="133">
        <f>E44-F44</f>
        <v>3929.4699999999721</v>
      </c>
      <c r="H44" s="137"/>
      <c r="I44" s="137"/>
      <c r="J44" s="137"/>
      <c r="K44" s="137"/>
    </row>
    <row r="45" spans="1:11" ht="15" customHeight="1">
      <c r="A45" s="125"/>
      <c r="B45" s="125"/>
      <c r="C45" s="125"/>
      <c r="D45" s="130"/>
      <c r="E45" s="131"/>
      <c r="F45" s="131"/>
      <c r="G45" s="133"/>
      <c r="H45" s="207"/>
      <c r="I45" s="137"/>
      <c r="J45" s="137"/>
      <c r="K45" s="137"/>
    </row>
    <row r="46" spans="1:11" ht="15" customHeight="1">
      <c r="A46" s="125" t="s">
        <v>205</v>
      </c>
      <c r="B46" s="125"/>
      <c r="C46" s="125" t="s">
        <v>613</v>
      </c>
      <c r="D46" s="130"/>
      <c r="E46" s="131">
        <v>2980433.36</v>
      </c>
      <c r="F46" s="131">
        <v>2792620.81</v>
      </c>
      <c r="G46" s="133">
        <f t="shared" si="0"/>
        <v>187812.54999999981</v>
      </c>
      <c r="H46" s="207"/>
      <c r="I46" s="137"/>
      <c r="J46" s="137"/>
      <c r="K46" s="137"/>
    </row>
    <row r="47" spans="1:11" ht="15" customHeight="1">
      <c r="A47" s="125"/>
      <c r="B47" s="125"/>
      <c r="C47" s="125" t="s">
        <v>723</v>
      </c>
      <c r="D47" s="130"/>
      <c r="E47" s="131">
        <v>0</v>
      </c>
      <c r="F47" s="131">
        <v>0</v>
      </c>
      <c r="G47" s="133">
        <f t="shared" si="0"/>
        <v>0</v>
      </c>
      <c r="H47" s="207"/>
      <c r="I47" s="137"/>
      <c r="J47" s="137"/>
      <c r="K47" s="137"/>
    </row>
    <row r="48" spans="1:11" ht="15" customHeight="1">
      <c r="A48" s="125"/>
      <c r="B48" s="125"/>
      <c r="C48" s="125"/>
      <c r="D48" s="130"/>
      <c r="E48" s="131"/>
      <c r="F48" s="131"/>
      <c r="G48" s="133"/>
      <c r="H48" s="207"/>
      <c r="I48" s="137"/>
      <c r="J48" s="137"/>
      <c r="K48" s="137"/>
    </row>
    <row r="49" spans="1:12" ht="15" customHeight="1">
      <c r="A49" s="125" t="s">
        <v>759</v>
      </c>
      <c r="B49" s="125"/>
      <c r="C49" s="125"/>
      <c r="D49" s="130"/>
      <c r="E49" s="131">
        <v>193078</v>
      </c>
      <c r="F49" s="131">
        <v>131203.76</v>
      </c>
      <c r="G49" s="133">
        <f>E49-F49</f>
        <v>61874.239999999991</v>
      </c>
      <c r="H49" s="207"/>
      <c r="I49" s="137"/>
      <c r="J49" s="137"/>
      <c r="K49" s="137"/>
    </row>
    <row r="50" spans="1:12" ht="15" customHeight="1">
      <c r="A50" s="125"/>
      <c r="B50" s="125"/>
      <c r="C50" s="125"/>
      <c r="D50" s="130"/>
      <c r="E50" s="131"/>
      <c r="F50" s="131"/>
      <c r="G50" s="133"/>
      <c r="H50" s="207"/>
      <c r="I50" s="137"/>
      <c r="J50" s="137"/>
      <c r="K50" s="137"/>
    </row>
    <row r="51" spans="1:12" ht="15" customHeight="1">
      <c r="A51" s="125" t="s">
        <v>671</v>
      </c>
      <c r="B51" s="125"/>
      <c r="C51" s="125" t="s">
        <v>614</v>
      </c>
      <c r="D51" s="130"/>
      <c r="E51" s="131">
        <v>581626.65</v>
      </c>
      <c r="F51" s="131">
        <v>568197.80000000005</v>
      </c>
      <c r="G51" s="133">
        <f>E51-F51</f>
        <v>13428.849999999977</v>
      </c>
      <c r="H51" s="207"/>
      <c r="I51" s="137"/>
      <c r="J51" s="137"/>
      <c r="K51" s="137"/>
    </row>
    <row r="52" spans="1:12" ht="15" customHeight="1">
      <c r="A52" s="125"/>
      <c r="B52" s="125"/>
      <c r="C52" s="125" t="s">
        <v>723</v>
      </c>
      <c r="D52" s="130"/>
      <c r="E52" s="131">
        <v>147303.71</v>
      </c>
      <c r="F52" s="131">
        <v>118076.96</v>
      </c>
      <c r="G52" s="133">
        <f>E52-F52</f>
        <v>29226.749999999985</v>
      </c>
      <c r="H52" s="207"/>
      <c r="I52" s="137"/>
      <c r="J52" s="137"/>
      <c r="K52" s="137"/>
    </row>
    <row r="53" spans="1:12" ht="15" customHeight="1">
      <c r="A53" s="125"/>
      <c r="B53" s="125"/>
      <c r="C53" s="125"/>
      <c r="D53" s="130"/>
      <c r="E53" s="131"/>
      <c r="F53" s="131"/>
      <c r="G53" s="133"/>
      <c r="H53" s="207"/>
      <c r="I53" s="137"/>
      <c r="J53" s="137"/>
      <c r="K53" s="137"/>
    </row>
    <row r="54" spans="1:12" ht="15" customHeight="1">
      <c r="A54" s="125" t="s">
        <v>385</v>
      </c>
      <c r="B54" s="125"/>
      <c r="C54" s="125" t="s">
        <v>614</v>
      </c>
      <c r="D54" s="130"/>
      <c r="E54" s="131">
        <v>214000</v>
      </c>
      <c r="F54" s="131">
        <v>44864.2</v>
      </c>
      <c r="G54" s="133">
        <f>E54-F54</f>
        <v>169135.8</v>
      </c>
      <c r="H54" s="207"/>
      <c r="I54" s="137"/>
      <c r="J54" s="137"/>
      <c r="K54" s="137"/>
    </row>
    <row r="55" spans="1:12" ht="15" customHeight="1">
      <c r="A55" s="125"/>
      <c r="B55" s="125"/>
      <c r="C55" s="125" t="s">
        <v>723</v>
      </c>
      <c r="D55" s="130"/>
      <c r="E55" s="131">
        <v>144628.89000000001</v>
      </c>
      <c r="F55" s="131">
        <v>42342.09</v>
      </c>
      <c r="G55" s="133">
        <f>E55-F55</f>
        <v>102286.80000000002</v>
      </c>
      <c r="H55" s="207"/>
      <c r="I55" s="137"/>
      <c r="J55" s="137"/>
      <c r="K55" s="137"/>
    </row>
    <row r="56" spans="1:12" ht="15" customHeight="1">
      <c r="A56" s="125" t="s">
        <v>336</v>
      </c>
      <c r="B56" s="125"/>
      <c r="C56" s="125"/>
      <c r="D56" s="125"/>
      <c r="E56" s="135">
        <f>SUM(E10:E55)</f>
        <v>26680322.66</v>
      </c>
      <c r="F56" s="135">
        <f>SUM(F10:F55)</f>
        <v>25219505.459999997</v>
      </c>
      <c r="G56" s="135">
        <f>SUM(G10:G55)</f>
        <v>1460817.1999999997</v>
      </c>
      <c r="H56" s="208"/>
      <c r="I56" s="137"/>
      <c r="J56" s="137"/>
      <c r="K56" s="137"/>
    </row>
    <row r="57" spans="1:12" ht="15" customHeight="1">
      <c r="A57" s="125"/>
      <c r="B57" s="125"/>
      <c r="C57" s="125"/>
      <c r="D57" s="125"/>
      <c r="E57" s="131"/>
      <c r="F57" s="133"/>
      <c r="G57" s="133"/>
      <c r="H57" s="137"/>
      <c r="I57" s="137"/>
      <c r="J57" s="137"/>
      <c r="K57" s="137"/>
    </row>
    <row r="58" spans="1:12" ht="15" customHeight="1">
      <c r="E58" s="136"/>
      <c r="F58" s="137"/>
      <c r="G58" s="133"/>
      <c r="H58" s="208"/>
      <c r="I58" s="137"/>
      <c r="J58" s="208"/>
      <c r="K58" s="137"/>
    </row>
    <row r="59" spans="1:12" ht="15" customHeight="1">
      <c r="A59" s="129" t="s">
        <v>206</v>
      </c>
      <c r="B59" s="125"/>
      <c r="C59" s="125"/>
      <c r="D59" s="125"/>
      <c r="E59" s="131"/>
      <c r="F59" s="133"/>
      <c r="G59" s="133"/>
      <c r="H59" s="137"/>
      <c r="I59" s="137"/>
      <c r="J59" s="208"/>
      <c r="K59" s="137"/>
      <c r="L59" s="132"/>
    </row>
    <row r="60" spans="1:12" ht="15" customHeight="1">
      <c r="A60" s="129" t="s">
        <v>660</v>
      </c>
      <c r="B60" s="125"/>
      <c r="C60" s="125"/>
      <c r="D60" s="125"/>
      <c r="E60" s="131"/>
      <c r="F60" s="133"/>
      <c r="G60" s="133"/>
      <c r="H60" s="137"/>
      <c r="I60" s="137"/>
      <c r="J60" s="208"/>
      <c r="K60" s="137"/>
    </row>
    <row r="61" spans="1:12" ht="15" customHeight="1">
      <c r="A61" s="125" t="s">
        <v>247</v>
      </c>
      <c r="B61" s="125"/>
      <c r="C61" s="125"/>
      <c r="D61" s="125"/>
      <c r="E61" s="131">
        <v>3217.29</v>
      </c>
      <c r="F61" s="133">
        <v>3217.29</v>
      </c>
      <c r="G61" s="133">
        <f>E61-F61</f>
        <v>0</v>
      </c>
      <c r="H61" s="208"/>
      <c r="I61" s="137"/>
      <c r="J61" s="208"/>
      <c r="K61" s="137"/>
    </row>
    <row r="62" spans="1:12" ht="15" hidden="1" customHeight="1">
      <c r="A62" s="125" t="s">
        <v>617</v>
      </c>
      <c r="B62" s="125"/>
      <c r="C62" s="125"/>
      <c r="D62" s="125"/>
      <c r="E62" s="131">
        <v>0</v>
      </c>
      <c r="F62" s="133">
        <v>0</v>
      </c>
      <c r="G62" s="133">
        <f>E62-F62</f>
        <v>0</v>
      </c>
      <c r="H62" s="208"/>
      <c r="I62" s="137"/>
      <c r="J62" s="208"/>
      <c r="K62" s="137"/>
    </row>
    <row r="63" spans="1:12" ht="15" customHeight="1">
      <c r="A63" s="125" t="s">
        <v>760</v>
      </c>
      <c r="B63" s="125"/>
      <c r="C63" s="125"/>
      <c r="D63" s="125"/>
      <c r="E63" s="131">
        <v>728000</v>
      </c>
      <c r="F63" s="133">
        <v>728000</v>
      </c>
      <c r="G63" s="133">
        <f>E63-F63</f>
        <v>0</v>
      </c>
      <c r="H63" s="208"/>
      <c r="I63" s="137"/>
      <c r="J63" s="208"/>
      <c r="K63" s="137"/>
    </row>
    <row r="64" spans="1:12" ht="15" customHeight="1">
      <c r="A64" s="125" t="s">
        <v>795</v>
      </c>
      <c r="B64" s="125"/>
      <c r="C64" s="125"/>
      <c r="D64" s="125"/>
      <c r="E64" s="131">
        <f>134731+585000</f>
        <v>719731</v>
      </c>
      <c r="F64" s="133">
        <v>719731</v>
      </c>
      <c r="G64" s="133">
        <f>E64-F64</f>
        <v>0</v>
      </c>
      <c r="H64" s="137"/>
      <c r="I64" s="137"/>
      <c r="J64" s="137"/>
      <c r="K64" s="137"/>
    </row>
    <row r="65" spans="1:11" ht="15" customHeight="1">
      <c r="A65" s="125" t="s">
        <v>794</v>
      </c>
      <c r="B65" s="125"/>
      <c r="C65" s="125"/>
      <c r="D65" s="125"/>
      <c r="E65" s="131">
        <v>200000</v>
      </c>
      <c r="F65" s="133">
        <v>200000</v>
      </c>
      <c r="G65" s="133">
        <f t="shared" ref="G65:G66" si="2">E65-F65</f>
        <v>0</v>
      </c>
      <c r="H65" s="137"/>
      <c r="I65" s="137"/>
      <c r="J65" s="137"/>
      <c r="K65" s="137"/>
    </row>
    <row r="66" spans="1:11" ht="15" customHeight="1">
      <c r="A66" s="125" t="s">
        <v>386</v>
      </c>
      <c r="B66" s="125"/>
      <c r="C66" s="125"/>
      <c r="D66" s="125"/>
      <c r="E66" s="131"/>
      <c r="F66" s="133"/>
      <c r="G66" s="133">
        <f t="shared" si="2"/>
        <v>0</v>
      </c>
      <c r="H66" s="137"/>
      <c r="I66" s="137"/>
      <c r="J66" s="137"/>
      <c r="K66" s="137"/>
    </row>
    <row r="67" spans="1:11" ht="15" customHeight="1">
      <c r="A67" s="125" t="s">
        <v>207</v>
      </c>
      <c r="B67" s="125"/>
      <c r="C67" s="125"/>
      <c r="D67" s="125"/>
      <c r="E67" s="135">
        <f>SUM(E61:E66)</f>
        <v>1650948.29</v>
      </c>
      <c r="F67" s="138">
        <f>SUM(F61:F66)</f>
        <v>1650948.29</v>
      </c>
      <c r="G67" s="138">
        <f>SUM(G61:G66)</f>
        <v>0</v>
      </c>
      <c r="H67" s="208"/>
      <c r="I67" s="137"/>
      <c r="J67" s="137"/>
      <c r="K67" s="137"/>
    </row>
    <row r="68" spans="1:11" ht="15" customHeight="1">
      <c r="A68" s="125"/>
      <c r="B68" s="125"/>
      <c r="C68" s="125"/>
      <c r="D68" s="125"/>
      <c r="E68" s="149"/>
      <c r="F68" s="150"/>
      <c r="G68" s="150"/>
      <c r="H68" s="208"/>
      <c r="I68" s="137"/>
      <c r="J68" s="137"/>
      <c r="K68" s="137"/>
    </row>
    <row r="69" spans="1:11" ht="15" customHeight="1" thickBot="1">
      <c r="B69" s="125" t="s">
        <v>213</v>
      </c>
      <c r="E69" s="139">
        <f>+E56+E67</f>
        <v>28331270.949999999</v>
      </c>
      <c r="F69" s="139">
        <f t="shared" ref="F69:G69" si="3">+F56+F67</f>
        <v>26870453.749999996</v>
      </c>
      <c r="G69" s="139">
        <f t="shared" si="3"/>
        <v>1460817.1999999997</v>
      </c>
      <c r="H69" s="208"/>
      <c r="I69" s="137"/>
      <c r="J69" s="137"/>
      <c r="K69" s="137"/>
    </row>
    <row r="70" spans="1:11" ht="15" customHeight="1" thickTop="1">
      <c r="E70" s="137"/>
      <c r="F70" s="137"/>
      <c r="G70" s="137"/>
      <c r="H70" s="211"/>
      <c r="I70" s="137"/>
      <c r="J70" s="137"/>
      <c r="K70" s="137"/>
    </row>
    <row r="71" spans="1:11" ht="15" customHeight="1">
      <c r="E71" s="211"/>
      <c r="F71" s="211"/>
      <c r="G71" s="211"/>
      <c r="H71" s="137"/>
      <c r="I71" s="137"/>
      <c r="J71" s="137"/>
      <c r="K71" s="137"/>
    </row>
    <row r="72" spans="1:11" ht="15" customHeight="1">
      <c r="E72" s="137"/>
      <c r="F72" s="137"/>
      <c r="G72" s="137"/>
      <c r="H72" s="137"/>
      <c r="I72" s="137"/>
      <c r="J72" s="137"/>
      <c r="K72" s="137"/>
    </row>
    <row r="73" spans="1:11" ht="15" customHeight="1">
      <c r="E73" s="14"/>
      <c r="F73" s="14"/>
      <c r="G73" s="137"/>
      <c r="H73" s="137"/>
      <c r="I73" s="137"/>
      <c r="K73" s="137"/>
    </row>
    <row r="74" spans="1:11" ht="15" customHeight="1">
      <c r="D74" s="214"/>
      <c r="E74" s="14"/>
      <c r="F74" s="14"/>
      <c r="G74" s="14"/>
      <c r="H74" s="211"/>
      <c r="I74" s="137"/>
      <c r="K74" s="137"/>
    </row>
    <row r="75" spans="1:11" ht="15" customHeight="1">
      <c r="D75" s="214"/>
      <c r="E75" s="14"/>
      <c r="F75" s="14"/>
      <c r="G75" s="137"/>
      <c r="H75" s="211"/>
      <c r="I75" s="137"/>
      <c r="J75" s="137"/>
      <c r="K75" s="137"/>
    </row>
    <row r="76" spans="1:11" ht="15" customHeight="1">
      <c r="D76" s="214"/>
      <c r="E76" s="14"/>
      <c r="F76" s="14"/>
      <c r="G76" s="14"/>
      <c r="H76" s="137"/>
      <c r="I76" s="137"/>
      <c r="J76" s="137"/>
      <c r="K76" s="137"/>
    </row>
    <row r="77" spans="1:11" ht="15" customHeight="1">
      <c r="D77" s="214"/>
      <c r="E77" s="14"/>
      <c r="F77" s="14"/>
      <c r="G77" s="85"/>
      <c r="H77" s="137"/>
      <c r="I77" s="137"/>
      <c r="J77" s="137"/>
      <c r="K77" s="137"/>
    </row>
    <row r="78" spans="1:11" ht="15" customHeight="1">
      <c r="E78" s="14"/>
      <c r="F78" s="14"/>
      <c r="G78" s="14"/>
      <c r="H78" s="137"/>
      <c r="I78" s="137"/>
      <c r="J78" s="137"/>
      <c r="K78" s="137"/>
    </row>
    <row r="79" spans="1:11" ht="15" customHeight="1">
      <c r="C79" s="189"/>
      <c r="E79" s="137"/>
      <c r="F79" s="137"/>
      <c r="G79" s="137"/>
      <c r="H79" s="137"/>
      <c r="I79" s="137"/>
      <c r="J79" s="137"/>
      <c r="K79" s="137"/>
    </row>
    <row r="80" spans="1:11" ht="15" customHeight="1">
      <c r="C80" s="189"/>
      <c r="D80"/>
      <c r="E80" s="14"/>
      <c r="F80" s="14"/>
      <c r="G80" s="137"/>
      <c r="H80" s="137"/>
      <c r="I80" s="137"/>
      <c r="J80" s="137"/>
      <c r="K80" s="137"/>
    </row>
    <row r="81" spans="3:11" ht="15" customHeight="1">
      <c r="C81" s="189"/>
      <c r="D81"/>
      <c r="E81" s="14"/>
      <c r="F81" s="14"/>
      <c r="G81" s="137"/>
      <c r="H81" s="137"/>
      <c r="I81" s="137"/>
      <c r="J81" s="137"/>
      <c r="K81" s="137"/>
    </row>
    <row r="82" spans="3:11" ht="15" customHeight="1">
      <c r="C82" s="180"/>
      <c r="D82"/>
      <c r="E82" s="14"/>
      <c r="F82" s="14"/>
      <c r="G82" s="137"/>
      <c r="H82" s="137"/>
      <c r="I82" s="137"/>
      <c r="J82" s="137"/>
      <c r="K82" s="137"/>
    </row>
    <row r="83" spans="3:11" ht="15" customHeight="1">
      <c r="E83" s="137"/>
      <c r="F83" s="137"/>
      <c r="G83" s="137"/>
      <c r="H83" s="137"/>
      <c r="I83" s="137"/>
      <c r="J83" s="137"/>
      <c r="K83" s="137"/>
    </row>
    <row r="84" spans="3:11" ht="15" customHeight="1">
      <c r="E84" s="137"/>
      <c r="F84" s="137"/>
      <c r="G84" s="137"/>
      <c r="H84" s="137"/>
      <c r="I84" s="137"/>
      <c r="J84" s="137"/>
      <c r="K84" s="137"/>
    </row>
    <row r="85" spans="3:11" ht="15" customHeight="1">
      <c r="E85" s="137"/>
      <c r="F85" s="137"/>
      <c r="G85" s="137"/>
      <c r="H85" s="137"/>
      <c r="I85" s="137"/>
      <c r="J85" s="137"/>
      <c r="K85" s="137"/>
    </row>
  </sheetData>
  <phoneticPr fontId="6" type="noConversion"/>
  <pageMargins left="0.75" right="0.75" top="1" bottom="1" header="0.5" footer="0.5"/>
  <pageSetup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26</vt:i4>
      </vt:variant>
    </vt:vector>
  </HeadingPairs>
  <TitlesOfParts>
    <vt:vector size="46" baseType="lpstr">
      <vt:lpstr>COVER PAGE</vt:lpstr>
      <vt:lpstr>COMBINED BALANCE SHEET </vt:lpstr>
      <vt:lpstr>BAL SHEET SPEC REV</vt:lpstr>
      <vt:lpstr>BAL SHEET CAP PROJ</vt:lpstr>
      <vt:lpstr>BAL SHEET TRUST AGENCY</vt:lpstr>
      <vt:lpstr>COMBINED REV EXP SHEET</vt:lpstr>
      <vt:lpstr>BUDGET REVENUES</vt:lpstr>
      <vt:lpstr>CY APPROP.</vt:lpstr>
      <vt:lpstr>BUDGET EXPEND</vt:lpstr>
      <vt:lpstr>FUND BALANCE</vt:lpstr>
      <vt:lpstr>FED GRANTS-FUND BAL </vt:lpstr>
      <vt:lpstr>STATE GRANTS-FUND BAL  </vt:lpstr>
      <vt:lpstr>RRAP-FUND BAL</vt:lpstr>
      <vt:lpstr>REVOLVING-FUND BAL</vt:lpstr>
      <vt:lpstr>OTHER SPECIAL-FUND BAL</vt:lpstr>
      <vt:lpstr>CAPITAL-FUND BAL</vt:lpstr>
      <vt:lpstr>WATER-SEWER BUDGET</vt:lpstr>
      <vt:lpstr>TRUST-FUND BAL </vt:lpstr>
      <vt:lpstr>AGENCY-LIABILITIES</vt:lpstr>
      <vt:lpstr>INDEBTEDNESS</vt:lpstr>
      <vt:lpstr>'AGENCY-LIABILITIES'!Print_Area</vt:lpstr>
      <vt:lpstr>'BAL SHEET CAP PROJ'!Print_Area</vt:lpstr>
      <vt:lpstr>'BAL SHEET SPEC REV'!Print_Area</vt:lpstr>
      <vt:lpstr>'BAL SHEET TRUST AGENCY'!Print_Area</vt:lpstr>
      <vt:lpstr>'BUDGET EXPEND'!Print_Area</vt:lpstr>
      <vt:lpstr>'BUDGET REVENUES'!Print_Area</vt:lpstr>
      <vt:lpstr>'CAPITAL-FUND BAL'!Print_Area</vt:lpstr>
      <vt:lpstr>'COMBINED BALANCE SHEET '!Print_Area</vt:lpstr>
      <vt:lpstr>'COMBINED REV EXP SHEET'!Print_Area</vt:lpstr>
      <vt:lpstr>'COVER PAGE'!Print_Area</vt:lpstr>
      <vt:lpstr>'CY APPROP.'!Print_Area</vt:lpstr>
      <vt:lpstr>'FED GRANTS-FUND BAL '!Print_Area</vt:lpstr>
      <vt:lpstr>'FUND BALANCE'!Print_Area</vt:lpstr>
      <vt:lpstr>INDEBTEDNESS!Print_Area</vt:lpstr>
      <vt:lpstr>'OTHER SPECIAL-FUND BAL'!Print_Area</vt:lpstr>
      <vt:lpstr>'REVOLVING-FUND BAL'!Print_Area</vt:lpstr>
      <vt:lpstr>'RRAP-FUND BAL'!Print_Area</vt:lpstr>
      <vt:lpstr>'STATE GRANTS-FUND BAL  '!Print_Area</vt:lpstr>
      <vt:lpstr>'TRUST-FUND BAL '!Print_Area</vt:lpstr>
      <vt:lpstr>'WATER-SEWER BUDGET'!Print_Area</vt:lpstr>
      <vt:lpstr>'BAL SHEET CAP PROJ'!Print_Titles</vt:lpstr>
      <vt:lpstr>'BAL SHEET SPEC REV'!Print_Titles</vt:lpstr>
      <vt:lpstr>'BAL SHEET TRUST AGENCY'!Print_Titles</vt:lpstr>
      <vt:lpstr>'COMBINED BALANCE SHEET '!Print_Titles</vt:lpstr>
      <vt:lpstr>'COMBINED REV EXP SHEET'!Print_Titles</vt:lpstr>
      <vt:lpstr>'CY APPROP.'!Print_Titles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</dc:creator>
  <cp:lastModifiedBy>Kimberley Fales</cp:lastModifiedBy>
  <cp:lastPrinted>2021-02-16T20:54:55Z</cp:lastPrinted>
  <dcterms:created xsi:type="dcterms:W3CDTF">1999-07-28T14:59:43Z</dcterms:created>
  <dcterms:modified xsi:type="dcterms:W3CDTF">2021-02-16T20:56:15Z</dcterms:modified>
</cp:coreProperties>
</file>